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500" activeTab="0"/>
  </bookViews>
  <sheets>
    <sheet name="6364" sheetId="1" r:id="rId1"/>
  </sheets>
  <definedNames>
    <definedName name="_xlnm.Print_Titles" localSheetId="0">'6364'!$A:$A,'6364'!$6:$7</definedName>
  </definedNames>
  <calcPr fullCalcOnLoad="1"/>
</workbook>
</file>

<file path=xl/sharedStrings.xml><?xml version="1.0" encoding="utf-8"?>
<sst xmlns="http://schemas.openxmlformats.org/spreadsheetml/2006/main" count="265" uniqueCount="182">
  <si>
    <t>ถึงวันนี้</t>
  </si>
  <si>
    <t>รวม(กส.)</t>
  </si>
  <si>
    <t>เทกอง(ตัน)</t>
  </si>
  <si>
    <t>กระสอบ</t>
  </si>
  <si>
    <t>รวม (กส.)</t>
  </si>
  <si>
    <t>กก.</t>
  </si>
  <si>
    <t>ภาคเหนือ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</si>
  <si>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</si>
  <si>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</si>
  <si>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</si>
  <si>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</si>
  <si>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เกษตรไทยอินเตอร์ฯ(รวมผล)</t>
  </si>
  <si>
    <t>นครเพชร</t>
  </si>
  <si>
    <t>เกษตรไทยอินเตอร์ฯ</t>
  </si>
  <si>
    <t>ไทยรุ่งเรือง</t>
  </si>
  <si>
    <t>พิษณุโลก</t>
  </si>
  <si>
    <t>ไทยอุตสาหกรรม(เพชรบูรณ์)</t>
  </si>
  <si>
    <t>**รวม**</t>
  </si>
  <si>
    <t>ภาคกลาง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</si>
  <si>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</si>
  <si>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</si>
  <si>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</si>
  <si>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</si>
  <si>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</si>
  <si>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</si>
  <si>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</si>
  <si>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</si>
  <si>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อุตสาหกรรมน้ำตาลบ้านไร่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</si>
  <si>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</si>
  <si>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</si>
  <si>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</si>
  <si>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</si>
  <si>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</si>
  <si>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</si>
  <si>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</si>
  <si>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</si>
  <si>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มิตรเกษตรอุทัยธานี</t>
  </si>
  <si>
    <t>สระบุรี(สระโบสถ์)</t>
  </si>
  <si>
    <t>ราชบุรี(กาญจนบุรี)</t>
  </si>
  <si>
    <t>ภาคตะวันออก</t>
  </si>
  <si>
    <t>นิวกว้าง</t>
  </si>
  <si>
    <t>สหการชลบุรี</t>
  </si>
  <si>
    <t>น้ำตาลและอ้อยตะวันออก</t>
  </si>
  <si>
    <t>ระยอง</t>
  </si>
  <si>
    <t>ภาคตะวันออกเฉียงเหนือ</t>
  </si>
  <si>
    <t>สุรินทร์</t>
  </si>
  <si>
    <t>อีสาน</t>
  </si>
  <si>
    <t>มิตรกาฬสินธุ์</t>
  </si>
  <si>
    <t>วังขนาย(มหาวัง)</t>
  </si>
  <si>
    <t>เกษตรผล</t>
  </si>
  <si>
    <t>โคราช</t>
  </si>
  <si>
    <t>รวมเกษตรกร(ขก.)</t>
  </si>
  <si>
    <t>อ่างเวียน</t>
  </si>
  <si>
    <t>ครบุรี</t>
  </si>
  <si>
    <t>เริ่มอุดม</t>
  </si>
  <si>
    <t>กุมภวาปี</t>
  </si>
  <si>
    <t>ขอนแก่น</t>
  </si>
  <si>
    <t>สหเรือง</t>
  </si>
  <si>
    <t>บุรีรัมย์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</si>
  <si>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</si>
  <si>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</si>
  <si>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</si>
  <si>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</si>
  <si>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</si>
  <si>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ระยอง(ชัยภูมิ)</t>
  </si>
  <si>
    <t>รวมทั้งสิ้น</t>
  </si>
  <si>
    <t>หมายเหตุ</t>
  </si>
  <si>
    <t xml:space="preserve">       รายงานการผลิตน้ำตาลทรายของโรงงานน้ำตาลทั่วประเทศ</t>
  </si>
  <si>
    <t>สำนักบริหารอ้อยและน้ำตาลทราย</t>
  </si>
  <si>
    <t>หน่วย/กระสอบ 100 กก.</t>
  </si>
  <si>
    <t xml:space="preserve"> ชื่อโรงงาน    </t>
  </si>
  <si>
    <t>เปิดหีบ</t>
  </si>
  <si>
    <t>ณ.วันนี้</t>
  </si>
  <si>
    <t>รวมวัน</t>
  </si>
  <si>
    <t xml:space="preserve">                               ปริมาณอ้อยเข้าหีบ</t>
  </si>
  <si>
    <t>รวมปริมาณอ้อย</t>
  </si>
  <si>
    <t>เฉลี่ย C.C.S</t>
  </si>
  <si>
    <t>น้ำตาลทรายขาว</t>
  </si>
  <si>
    <t>น้ำตาลทรายดิบ</t>
  </si>
  <si>
    <t>* ชนิดอื่นๆ</t>
  </si>
  <si>
    <t>น้ำตาล/ตันอ้อย</t>
  </si>
  <si>
    <t>ปริมาณการผลิต</t>
  </si>
  <si>
    <t>เฉลี่ย/ตันอ้อย</t>
  </si>
  <si>
    <t>หีบอ้อย</t>
  </si>
  <si>
    <t>เดินเครื่อง</t>
  </si>
  <si>
    <t>อ้อยสด(ตัน)</t>
  </si>
  <si>
    <t>อ้อยไฟไหม้(ตัน)</t>
  </si>
  <si>
    <t>(ตัน)</t>
  </si>
  <si>
    <t>ขาวธรรมดา(กส.)</t>
  </si>
  <si>
    <t>ขาวบริสุทธิ์(กส.)</t>
  </si>
  <si>
    <t>กากน้ำตาล(ตัน)</t>
  </si>
  <si>
    <t>ฉบับปิดหีบ</t>
  </si>
  <si>
    <t>1.ข้อมูล C.C.S.เฉลี่ยที่ได้เป็นข้อมูลเบื้องต้นตามหนังสือบันทึกยืนยันการปิดหีบอ้อยและจะทำการปรับปรุงอีกครั้งตามกลุ่มงานวิเคราะห์และประมวลผลคุณภาพอ้อย</t>
  </si>
  <si>
    <t>(*ปิดหีบ)</t>
  </si>
  <si>
    <t>98</t>
  </si>
  <si>
    <t>น้ำตาลและอ้อยตะวันออก(วังสมบูรณ์)</t>
  </si>
  <si>
    <t>94</t>
  </si>
  <si>
    <t>ไทยรุ่งเรือง(สกลนคร)</t>
  </si>
  <si>
    <t>92</t>
  </si>
  <si>
    <t>90</t>
  </si>
  <si>
    <t>86</t>
  </si>
  <si>
    <t>87</t>
  </si>
  <si>
    <t>78</t>
  </si>
  <si>
    <t>79</t>
  </si>
  <si>
    <t>81</t>
  </si>
  <si>
    <t>82</t>
  </si>
  <si>
    <t>83</t>
  </si>
  <si>
    <t>65</t>
  </si>
  <si>
    <t>70</t>
  </si>
  <si>
    <t>88</t>
  </si>
  <si>
    <t>71</t>
  </si>
  <si>
    <t>ประจำปีการผลิต 2563/2564</t>
  </si>
  <si>
    <t xml:space="preserve"> * รายงานแยกตามประเภท (ภาค) * </t>
  </si>
  <si>
    <t>15/12/63</t>
  </si>
  <si>
    <t>5/1/64</t>
  </si>
  <si>
    <t>18/12/63</t>
  </si>
  <si>
    <t>66</t>
  </si>
  <si>
    <t>22/12/63</t>
  </si>
  <si>
    <t>4/1/64</t>
  </si>
  <si>
    <t>21/12/63</t>
  </si>
  <si>
    <t>18/2/64</t>
  </si>
  <si>
    <t>25/12/63</t>
  </si>
  <si>
    <t>59</t>
  </si>
  <si>
    <t>14/12/63</t>
  </si>
  <si>
    <t>16/12/63</t>
  </si>
  <si>
    <t>10/12/63</t>
  </si>
  <si>
    <t>17/2/64</t>
  </si>
  <si>
    <t>12/12/63</t>
  </si>
  <si>
    <t>72</t>
  </si>
  <si>
    <t>11/12/63</t>
  </si>
  <si>
    <t>มิตรผล(อำนาจเจริญ)</t>
  </si>
  <si>
    <t>5. รง.กุมภวาปีผลิต Hi-Test Molasses จำนวน 444.000 เมตริกตัน</t>
  </si>
  <si>
    <t>8/3/64</t>
  </si>
  <si>
    <t>84</t>
  </si>
  <si>
    <t>10/3/64</t>
  </si>
  <si>
    <t>17/3/64</t>
  </si>
  <si>
    <t>6/3/64</t>
  </si>
  <si>
    <t>4/3/64</t>
  </si>
  <si>
    <t>9/3/64</t>
  </si>
  <si>
    <t>85</t>
  </si>
  <si>
    <t>7/3/64</t>
  </si>
  <si>
    <t>27/2/64</t>
  </si>
  <si>
    <t>16/3/64</t>
  </si>
  <si>
    <t>14/3/64</t>
  </si>
  <si>
    <t>5/3/64</t>
  </si>
  <si>
    <t>12/3/64</t>
  </si>
  <si>
    <t>3/3/64</t>
  </si>
  <si>
    <t>15/3/64</t>
  </si>
  <si>
    <t>13/3/64</t>
  </si>
  <si>
    <t>11/3/64</t>
  </si>
  <si>
    <t>1/3/64</t>
  </si>
  <si>
    <t>28/2/64</t>
  </si>
  <si>
    <t>96</t>
  </si>
  <si>
    <t>20/3/64</t>
  </si>
  <si>
    <t>75</t>
  </si>
  <si>
    <t>18/3/64</t>
  </si>
  <si>
    <t>74</t>
  </si>
  <si>
    <t>19/3/64</t>
  </si>
  <si>
    <t>25/3/64</t>
  </si>
  <si>
    <t>7.รง.ไทยรุ่งเรืองอุตฯผลิตน้ำตาลเหลวLiquid Sugarจำนวน 2,600.797 ตัน แปลงค่าเป็นน้ำตาลทรายขาวบริสุทธิ์จำนวน 17,570.578 กส.สัดส่วนน้ำเชื่อม:น้ำตาลขาวบริสุทธิ์เท่ากับ 1.4802:1 ใช้สัดส่วนปี 62/63</t>
  </si>
  <si>
    <t>10.รง.มิตรผลผลิตน้ำเชื่อม Mis จำนวน 11,385.458  ตัน แปลงค่าเป็นน้ำตาลทรายขาวบริสุทธิ์จำนวน 85,585.642 กส. สัดส่วนน้ำเชื่อม:น้ำตาลขาวบริสุทธิ์เท่ากับ 1.3303:1 ใช้สัดส่วนปี 62/63 รวมไว้ในช่องอื่น ๆ</t>
  </si>
  <si>
    <t>11.รง.มิตรผลผลิตน้ำเชื่อม Ls จำนวน 40,393.828 ตัน แปลงค่าเป็นน้ำตาลทรายขาวบริสุทธิ์จำนวน 271,245.152 กส. สัดส่วนน้ำเชื่อม:น้ำตาลขาวบริสุทธิ์เท่ากับ 1.4892:1 ใช้สัดส่วนปี 62/63 รวมไว้ในช่องอื่น ๆ</t>
  </si>
  <si>
    <t>12.รง.มิตรผลผลิตน้ำเชื่อม  Sucrosesweet W จำนวน 12,043.160 ตัน แปลงค่าเป็นน้ำตาลทรายขาวธรรมดาจำนวน 80,832.002 กส.สัดส่วนน้ำเชื่อม:น้ำตาลขาวธรรมดาเท่ากับ 1.4899:1 ใช้สัดส่วนปี 62/63 รวมไว้ในช่องอื่น ๆ</t>
  </si>
  <si>
    <t>16.รง.นิวกรุงไทยผลิต Liquid Sucrose02 จำนวน 32.000 ตันแปลงค่าเป็นน้ำตาลทรายขาวธรรมดาจำนวน 215.590 กส.สัดส่วนน้ำเชื่อม:น้ำตาลขาวธรรมดาเท่ากับ1.4843:1(ใช้สัดส่วนปี 63/64)</t>
  </si>
  <si>
    <t>17.รง.น้ำตาลที่มีการละลายต่อเนื่องมี 11 โรงงานได้แก่ รง.นครเพชร,รง.เกษตรไทย,รง.รีไฟน์ชัยมงคล,รง.ประจวบอุตสาหกรรม,รง.ไทยกาญจนบุรี,รง.มิตรเกษตร,รง.มิตรผล,รง.สุรินทร์,รง.อุตฯน้ำตาลอีสาน,รง.อ่างเวียนและรง.ขอนแก่น</t>
  </si>
  <si>
    <t>รง.น้ำตาลและอ้อยตะวันออก,รง.มิตรกาฬสินธุ์,รง.เกษตรผล,รง.อุตฯโคราช,รง.รวมเกษตรกร(ขก.),รง.ครบุรี,รง.กุมภวาปี,รง.สหเรือง,รง.บุรีรัมย์,รง.รวมเกษตรกร(ชย.),รง.เอราวัณและรง.น้ำตาลไทยอุดรฯ</t>
  </si>
  <si>
    <t>19.รง.รีไฟน์ชัยมงคล ปรับปรุงยอดผลิตกากน้ำตาลนอกฤดูลดลง จำนวน 20.826 เมตริกตัน ตามหนังสือที่ รง.11/66/2564 ลงวันที่ 8 มีนาคม 2564</t>
  </si>
  <si>
    <t>21.รง.น้ำตาลที่มีการผลิตน้ำตาลชนิดพิเศษได้รวมไว้ในช่องอื่น ๆ แล้ว</t>
  </si>
  <si>
    <t>23.ช่องปิดหีบหมายถึงวันที่อ้อยเข้าหีบวันสุดท้ายและวันที่จบการละลาย ช่องวันเดินเครื่องหมายถึงวันที่น้ำตาลตกหมดและรวมถึงวันที่หยุดละลายน้ำตาล</t>
  </si>
  <si>
    <t>2.รง.มิตรกาฬสินธุ์ผลิตปริมาณ B-Molasses  คำนวณเป็นทรายดิบสะสมจำนวน 31,221.220 เมตริกตัน คำนวณเป็นกากน้ำตาลสะสม จำนวน 65,449.802 เมตริกตัน</t>
  </si>
  <si>
    <t>และผลิต Raw syrup คำนวณเป็นน้ำตาลทรายดิบสะสมจำนวน 32,620.500 เมตริกตัน คำนวณเป็นกากน้ำตาล สะสม 9,934.121 เมตริกตัน รวมไว้ในช่องดิบกระสอบและกากน้ำตาล</t>
  </si>
  <si>
    <t>13.รง.มิตรผลผลิตน้ำเชื่อมสำหรับใช้เป็นวัตถุดิบ คำนวณเป็นน้ำตาลทรายดิบสะสมจำนวน 20,651.380 เมตริกตัน และคำนวณเป็นกากน้ำตาลสะสม จำนวน 59,299.005 เมตริกตันรวมไว้ในช่องดิบกระสอบและกากน้ำตาล</t>
  </si>
  <si>
    <t>14.รง.เกษตรไทยผลิต Liquid Sucrose จำนวน 3,236.640 เมตริกตัน แปลงค่าเป็นน้ำตาลทรายขาวบริสุทธิ์ จำนวน 21,262.909 กระสอบ สัดส่วนน้ำเชื่อมน้ำตาลทรายขาวบริสุทธิ์ 1.5222:1 (ใช้สัดส่วนปี62/63) รวมไว้ในช่องอื่นๆ</t>
  </si>
  <si>
    <t>22.รง.น้ำตาลทิพย์กำแพงเพชร เริ่มละลายน้ำตาลประมาณเดือน พฤษภาคม 2564 และรง.บุรีรัมย์ หยุดละลายน้ำตาลชั่วคราว</t>
  </si>
  <si>
    <t>20.รง.ที่มีการละลายน้ำตาลแล้วจบการละลายมี 11 โรงงานได้แก่ รง.รีไฟน์ฯ,รง.ไทยอุตสาหกรรม,รง.ประจวบอุตสาหกรรม,รง.มิตรเกษตร,รง.สุรินทร์,รง.เกษตรผล,รง.กุมภวาปี,รง.อุตน้ำตาลอีสาน,รง.สหเรือง,รง.อ่างเวียนและรง.สระบุรี</t>
  </si>
  <si>
    <t>15.รง.สระบุรีผลิตน้ำเชื่อมสำหรับใช้เป็นวัตถุดิบ คำนวณเป็นน้ำตาลทรายดิบสะสม จำนวน 2,201.060 เมตริกตัน รวมไว้ในช่องดิบกระสอบ</t>
  </si>
  <si>
    <t>3.รง.รวมเกษตรกร(ชย.)ผลิตน้ำเชื่อม B-molasses  สะสมจำนวน 160,197.700 เมตริกตัน คำนวณเป็นน้ำตาลทรายดิบสะสมจำนวน 41,615.460 เมตริกตันและคำนวณเป็นกากน้ำตาลสะสมจำนวน 106,833.75 เมตริกตัน รวมไว้ในช่องดิบกระสอบและกากน้ำตาล</t>
  </si>
  <si>
    <t>4.รง.น้ำตาลโคราชผลิตน้ำตาล Liquid Sugar จำนวน 3,625.000 เมตริกตันแปลงค่าเป็นน้ำตาลขาวบริสุทธิ์จำนวน 24,481.664 กส.สัดส่วนน้ำเชื่อม :นต.ขาวบริสุทธิ์ เท่ากับ1.4807 :1ใช้สัดส่วนปี 62/63รวมไว้ในช่องอื่นๆ</t>
  </si>
  <si>
    <t>6.รง.ขอนแก่น ผลิต Liquid Sucrose02 จำนวน 11,937.610 ตัน แปลงค่าเป็นน้ำตาลทรายขาวธรรมดาจำนวน 80,469.228 กส. สัดส่วนน้ำเชื่อม:น้ำตาลขาวธรรมดาเท่ากับ 1.4835:1(ใช้สัดส่วนปี 62/63)รวมไว้ในช่องอื่นๆ</t>
  </si>
  <si>
    <t>8.รง.ไทยรุ่งเรืองผลิต Liquid Sucrose02 จำนวน 1,312.347 ตัน แปลงค่าเป็นน้ำตาลทรายขาวธรรมดาจำนวน 8,870.806 กส.สัดส่วนน้ำเชื่อม:น้ำตาลขาวธรรมดาเท่ากับ1.4794:1(ใช้สัดส่วนปี 62/63)รวมไว้ในช่องอื่นๆ</t>
  </si>
  <si>
    <t>9.รง.บ้านไร่ผลิต Liquid Sugar จำนวน 12,189.680 ตัน แปลงค่าเป็นน้ำตาลทรายขาวบริสุทธิ์จำนวน 82,262.654 กส. สัดส่วนน้ำเชื่อม:น้ำตาลขาวบริสุทธิ์เท่ากับ1.4818:1(ใช้สัดส่วนปี 62/63)รวมไว้ในช่องอื่น ๆ</t>
  </si>
  <si>
    <t>18.รง.น้ำตาลที่มีการละลายตัดกระบวนการมี 24 โรงงานได้แก่ รง.กำแพงเพชร,รง.พิษณุโลก,รง.มิตรเกษตรอุทัยฯ,รง.สิงห์บุรี,รง.ไทยรุ่งเรือง,รง.สระบุรี, รง.ไทยอุตฯ, รง.นิวกรุงไทย,รง.อุตฯบ้านไร่,รง.บ้านโป่ง,รง.ราชบุรี,รง.ปราณบุรี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</si>
</sst>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"/>
    <numFmt numFmtId="188" formatCode="#,##0.000"/>
    <numFmt numFmtId="189" formatCode="#,###.00"/>
    <numFmt numFmtId="190" formatCode="#,###"/>
    <numFmt numFmtId="191" formatCode="#,##0.00_);\-#,##0.00"/>
    <numFmt numFmtId="192" formatCode="[$-41E]d\ mmmm\ yyyy"/>
    <numFmt numFmtId="193" formatCode="_-* #,##0.000_-;\-* #,##0.000_-;_-* &quot;-&quot;??_-;_-@_-"/>
    <numFmt numFmtId="194" formatCode="_-* #,##0.000_-;\-* #,##0.000_-;_-* &quot;-&quot;???_-;_-@_-"/>
    <numFmt numFmtId="195" formatCode="0.00000"/>
    <numFmt numFmtId="196" formatCode="0.0000"/>
    <numFmt numFmtId="197" formatCode="0.000"/>
    <numFmt numFmtId="198" formatCode="0.00000000"/>
    <numFmt numFmtId="199" formatCode="0.0000000"/>
    <numFmt numFmtId="200" formatCode="0.000000"/>
    <numFmt numFmtId="201" formatCode="#,##0.0"/>
    <numFmt numFmtId="202" formatCode="0.0"/>
    <numFmt numFmtId="203" formatCode="_-* #,##0.0_-;\-* #,##0.0_-;_-* &quot;-&quot;??_-;_-@_-"/>
    <numFmt numFmtId="204" formatCode="#,##0.0000"/>
    <numFmt numFmtId="205" formatCode="d/m/yyyy"/>
    <numFmt numFmtId="206" formatCode="_-* #,##0.0000_-;\-* #,##0.0000_-;_-* &quot;-&quot;??_-;_-@_-"/>
    <numFmt numFmtId="207" formatCode="_-* #,##0_-;\-* #,##0_-;_-* &quot;-&quot;??_-;_-@_-"/>
    <numFmt numFmtId="208" formatCode="[$-41E]ddd\ d\ mmmm\ yyyy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MS Sans Serif"/>
      <family val="2"/>
    </font>
    <font>
      <sz val="12"/>
      <color indexed="8"/>
      <name val="Angsana New"/>
      <family val="1"/>
    </font>
    <font>
      <sz val="14.05"/>
      <color indexed="8"/>
      <name val="Angsana New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single"/>
      <sz val="10"/>
      <color indexed="12"/>
      <name val="ARIAL"/>
      <family val="0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 vertical="top"/>
      <protection/>
    </xf>
    <xf numFmtId="0" fontId="26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center"/>
    </xf>
    <xf numFmtId="190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18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0" xfId="59" applyFont="1" applyFill="1" applyAlignment="1">
      <alignment/>
      <protection/>
    </xf>
    <xf numFmtId="0" fontId="0" fillId="0" borderId="0" xfId="0" applyFill="1" applyAlignment="1">
      <alignment vertical="top"/>
    </xf>
    <xf numFmtId="193" fontId="0" fillId="0" borderId="0" xfId="42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88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14" fontId="0" fillId="0" borderId="0" xfId="0" applyNumberFormat="1" applyFill="1" applyAlignment="1">
      <alignment vertical="top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188" fontId="0" fillId="0" borderId="13" xfId="0" applyNumberFormat="1" applyFill="1" applyBorder="1" applyAlignment="1">
      <alignment/>
    </xf>
    <xf numFmtId="189" fontId="0" fillId="0" borderId="13" xfId="0" applyNumberFormat="1" applyFill="1" applyBorder="1" applyAlignment="1">
      <alignment horizontal="center"/>
    </xf>
    <xf numFmtId="193" fontId="0" fillId="0" borderId="0" xfId="42" applyNumberFormat="1" applyFont="1" applyFill="1" applyAlignment="1">
      <alignment vertical="top"/>
    </xf>
    <xf numFmtId="197" fontId="0" fillId="0" borderId="0" xfId="0" applyNumberFormat="1" applyFill="1" applyAlignment="1">
      <alignment vertical="top"/>
    </xf>
    <xf numFmtId="15" fontId="0" fillId="0" borderId="0" xfId="0" applyNumberForma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Continuous"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Continuous"/>
      <protection/>
    </xf>
    <xf numFmtId="0" fontId="1" fillId="0" borderId="13" xfId="0" applyNumberFormat="1" applyFont="1" applyFill="1" applyBorder="1" applyAlignment="1" applyProtection="1">
      <alignment horizontal="centerContinuous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81" fontId="0" fillId="0" borderId="10" xfId="0" applyNumberFormat="1" applyFill="1" applyBorder="1" applyAlignment="1">
      <alignment horizont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G3" sqref="G3"/>
    </sheetView>
  </sheetViews>
  <sheetFormatPr defaultColWidth="23.00390625" defaultRowHeight="16.5" customHeight="1"/>
  <cols>
    <col min="1" max="1" width="17.8515625" style="11" customWidth="1"/>
    <col min="2" max="2" width="7.7109375" style="11" customWidth="1"/>
    <col min="3" max="3" width="8.8515625" style="11" customWidth="1"/>
    <col min="4" max="4" width="7.8515625" style="11" customWidth="1"/>
    <col min="5" max="5" width="8.28125" style="11" customWidth="1"/>
    <col min="6" max="7" width="14.57421875" style="11" customWidth="1"/>
    <col min="8" max="8" width="15.8515625" style="11" customWidth="1"/>
    <col min="9" max="9" width="8.7109375" style="11" customWidth="1"/>
    <col min="10" max="10" width="12.8515625" style="11" customWidth="1"/>
    <col min="11" max="11" width="13.57421875" style="11" customWidth="1"/>
    <col min="12" max="12" width="13.421875" style="11" customWidth="1"/>
    <col min="13" max="13" width="12.7109375" style="11" customWidth="1"/>
    <col min="14" max="14" width="13.00390625" style="11" customWidth="1"/>
    <col min="15" max="15" width="14.140625" style="11" customWidth="1"/>
    <col min="16" max="16" width="12.7109375" style="11" customWidth="1"/>
    <col min="17" max="17" width="13.57421875" style="11" customWidth="1"/>
    <col min="18" max="18" width="9.57421875" style="11" customWidth="1"/>
    <col min="19" max="19" width="12.7109375" style="11" customWidth="1"/>
    <col min="20" max="20" width="11.421875" style="11" customWidth="1"/>
    <col min="21" max="21" width="13.140625" style="11" customWidth="1"/>
    <col min="22" max="22" width="11.57421875" style="11" customWidth="1"/>
    <col min="23" max="23" width="8.421875" style="11" customWidth="1"/>
    <col min="24" max="24" width="19.8515625" style="11" customWidth="1"/>
    <col min="25" max="16384" width="23.00390625" style="11" customWidth="1"/>
  </cols>
  <sheetData>
    <row r="1" spans="4:9" ht="16.5" customHeight="1">
      <c r="D1" s="13"/>
      <c r="E1" s="13"/>
      <c r="I1" s="13"/>
    </row>
    <row r="2" spans="4:11" ht="16.5" customHeight="1">
      <c r="D2" s="13"/>
      <c r="E2" s="13"/>
      <c r="I2" s="13"/>
      <c r="K2" s="14"/>
    </row>
    <row r="3" spans="2:20" ht="16.5" customHeight="1">
      <c r="B3" s="2"/>
      <c r="C3" s="2"/>
      <c r="D3" s="2"/>
      <c r="E3" s="2"/>
      <c r="F3" s="1"/>
      <c r="G3" s="1"/>
      <c r="H3" s="1"/>
      <c r="I3" s="2"/>
      <c r="J3" s="15"/>
      <c r="K3" s="37" t="s">
        <v>67</v>
      </c>
      <c r="L3" s="1"/>
      <c r="M3" s="1"/>
      <c r="N3" s="1"/>
      <c r="O3" s="1"/>
      <c r="P3" s="1"/>
      <c r="R3" s="2"/>
      <c r="S3" s="1"/>
      <c r="T3" s="16"/>
    </row>
    <row r="4" spans="1:20" ht="16.5" customHeight="1">
      <c r="A4" s="17"/>
      <c r="B4" s="2"/>
      <c r="C4" s="2"/>
      <c r="D4" s="2"/>
      <c r="E4" s="2"/>
      <c r="F4" s="1"/>
      <c r="G4" s="1"/>
      <c r="H4" s="1"/>
      <c r="I4" s="2"/>
      <c r="J4" s="18"/>
      <c r="K4" s="38" t="s">
        <v>111</v>
      </c>
      <c r="L4" s="1"/>
      <c r="M4" s="1"/>
      <c r="N4" s="1"/>
      <c r="O4" s="1"/>
      <c r="P4" s="1"/>
      <c r="R4" s="2"/>
      <c r="S4" s="50" t="s">
        <v>68</v>
      </c>
      <c r="T4" s="3"/>
    </row>
    <row r="5" spans="1:20" ht="16.5" customHeight="1">
      <c r="A5" s="39" t="s">
        <v>112</v>
      </c>
      <c r="B5" s="2"/>
      <c r="C5" s="2"/>
      <c r="D5" s="2"/>
      <c r="E5" s="2"/>
      <c r="F5" s="1"/>
      <c r="G5" s="1"/>
      <c r="H5" s="1"/>
      <c r="I5" s="2"/>
      <c r="J5" s="18"/>
      <c r="K5" s="38" t="s">
        <v>91</v>
      </c>
      <c r="L5" s="1"/>
      <c r="M5" s="1"/>
      <c r="N5" s="1"/>
      <c r="O5" s="19"/>
      <c r="P5" s="1"/>
      <c r="Q5" s="1"/>
      <c r="R5" s="2"/>
      <c r="S5" s="50" t="s">
        <v>69</v>
      </c>
      <c r="T5" s="3"/>
    </row>
    <row r="6" spans="1:20" ht="16.5" customHeight="1">
      <c r="A6" s="40" t="s">
        <v>70</v>
      </c>
      <c r="B6" s="41" t="s">
        <v>71</v>
      </c>
      <c r="C6" s="42" t="s">
        <v>72</v>
      </c>
      <c r="D6" s="42" t="s">
        <v>73</v>
      </c>
      <c r="E6" s="42" t="s">
        <v>73</v>
      </c>
      <c r="F6" s="43" t="s">
        <v>74</v>
      </c>
      <c r="G6" s="44"/>
      <c r="H6" s="41" t="s">
        <v>75</v>
      </c>
      <c r="I6" s="41" t="s">
        <v>76</v>
      </c>
      <c r="J6" s="43" t="s">
        <v>77</v>
      </c>
      <c r="K6" s="45"/>
      <c r="L6" s="45"/>
      <c r="M6" s="43" t="s">
        <v>78</v>
      </c>
      <c r="N6" s="45"/>
      <c r="O6" s="45"/>
      <c r="P6" s="40" t="s">
        <v>79</v>
      </c>
      <c r="Q6" s="40" t="s">
        <v>65</v>
      </c>
      <c r="R6" s="42" t="s">
        <v>80</v>
      </c>
      <c r="S6" s="41" t="s">
        <v>81</v>
      </c>
      <c r="T6" s="41" t="s">
        <v>82</v>
      </c>
    </row>
    <row r="7" spans="1:20" ht="16.5" customHeight="1">
      <c r="A7" s="46"/>
      <c r="B7" s="47"/>
      <c r="C7" s="47" t="s">
        <v>93</v>
      </c>
      <c r="D7" s="47" t="s">
        <v>83</v>
      </c>
      <c r="E7" s="47" t="s">
        <v>84</v>
      </c>
      <c r="F7" s="48" t="s">
        <v>85</v>
      </c>
      <c r="G7" s="48" t="s">
        <v>86</v>
      </c>
      <c r="H7" s="49" t="s">
        <v>87</v>
      </c>
      <c r="I7" s="49" t="s">
        <v>0</v>
      </c>
      <c r="J7" s="48" t="s">
        <v>88</v>
      </c>
      <c r="K7" s="48" t="s">
        <v>89</v>
      </c>
      <c r="L7" s="48" t="s">
        <v>1</v>
      </c>
      <c r="M7" s="48" t="s">
        <v>2</v>
      </c>
      <c r="N7" s="48" t="s">
        <v>3</v>
      </c>
      <c r="O7" s="48" t="s">
        <v>4</v>
      </c>
      <c r="P7" s="47"/>
      <c r="Q7" s="47"/>
      <c r="R7" s="47" t="s">
        <v>5</v>
      </c>
      <c r="S7" s="49" t="s">
        <v>90</v>
      </c>
      <c r="T7" s="47" t="s">
        <v>5</v>
      </c>
    </row>
    <row r="8" spans="1:20" ht="16.5" customHeight="1">
      <c r="A8" s="20" t="s">
        <v>6</v>
      </c>
      <c r="B8" s="20"/>
      <c r="C8" s="20"/>
      <c r="D8" s="21"/>
      <c r="E8" s="21"/>
      <c r="F8" s="20"/>
      <c r="G8" s="20"/>
      <c r="H8" s="20"/>
      <c r="I8" s="2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6.5" customHeight="1">
      <c r="A9" s="22" t="s">
        <v>7</v>
      </c>
      <c r="B9" s="4" t="s">
        <v>113</v>
      </c>
      <c r="C9" s="4" t="s">
        <v>132</v>
      </c>
      <c r="D9" s="4" t="s">
        <v>133</v>
      </c>
      <c r="E9" s="5">
        <v>84</v>
      </c>
      <c r="F9" s="6">
        <v>1895728.61</v>
      </c>
      <c r="G9" s="6">
        <v>263795.18</v>
      </c>
      <c r="H9" s="6">
        <f>F9+G9</f>
        <v>2159523.79</v>
      </c>
      <c r="I9" s="8">
        <v>11.9</v>
      </c>
      <c r="J9" s="6">
        <v>272186.5</v>
      </c>
      <c r="K9" s="6">
        <v>343104.5</v>
      </c>
      <c r="L9" s="6">
        <f>J9+K9</f>
        <v>615291</v>
      </c>
      <c r="M9" s="6">
        <v>167001.28</v>
      </c>
      <c r="N9" s="6">
        <v>0</v>
      </c>
      <c r="O9" s="6">
        <f>(M9*10)+N9</f>
        <v>1670012.8</v>
      </c>
      <c r="P9" s="6">
        <v>0</v>
      </c>
      <c r="Q9" s="6">
        <f>L9+O9+P9</f>
        <v>2285303.8</v>
      </c>
      <c r="R9" s="23">
        <f>Q9*100/H9</f>
        <v>105.82443270976884</v>
      </c>
      <c r="S9" s="6">
        <v>89797.134</v>
      </c>
      <c r="T9" s="23">
        <f>S9*1000/H9</f>
        <v>41.58191468684862</v>
      </c>
    </row>
    <row r="10" spans="1:20" ht="16.5" customHeight="1">
      <c r="A10" s="22" t="s">
        <v>8</v>
      </c>
      <c r="B10" s="4" t="s">
        <v>114</v>
      </c>
      <c r="C10" s="4" t="s">
        <v>134</v>
      </c>
      <c r="D10" s="4" t="s">
        <v>107</v>
      </c>
      <c r="E10" s="5">
        <v>65</v>
      </c>
      <c r="F10" s="6">
        <v>898544.35</v>
      </c>
      <c r="G10" s="6">
        <v>52795.34</v>
      </c>
      <c r="H10" s="6">
        <f aca="true" t="shared" si="0" ref="H10:H47">F10+G10</f>
        <v>951339.69</v>
      </c>
      <c r="I10" s="8">
        <v>12.84</v>
      </c>
      <c r="J10" s="6">
        <v>64830</v>
      </c>
      <c r="K10" s="6">
        <v>138699</v>
      </c>
      <c r="L10" s="6">
        <f aca="true" t="shared" si="1" ref="L10:L18">J10+K10</f>
        <v>203529</v>
      </c>
      <c r="M10" s="6">
        <v>86047.625</v>
      </c>
      <c r="N10" s="6">
        <v>0</v>
      </c>
      <c r="O10" s="6">
        <f aca="true" t="shared" si="2" ref="O10:O73">(M10*10)+N10</f>
        <v>860476.25</v>
      </c>
      <c r="P10" s="6">
        <v>79421.5</v>
      </c>
      <c r="Q10" s="6">
        <f aca="true" t="shared" si="3" ref="Q10:Q18">L10+O10+P10</f>
        <v>1143426.75</v>
      </c>
      <c r="R10" s="23">
        <f aca="true" t="shared" si="4" ref="R10:R19">Q10*100/H10</f>
        <v>120.19121687228251</v>
      </c>
      <c r="S10" s="6">
        <v>40920.689</v>
      </c>
      <c r="T10" s="23">
        <f aca="true" t="shared" si="5" ref="T10:T19">S10*1000/H10</f>
        <v>43.01375148134522</v>
      </c>
    </row>
    <row r="11" spans="1:20" ht="16.5" customHeight="1">
      <c r="A11" s="22" t="s">
        <v>9</v>
      </c>
      <c r="B11" s="4" t="s">
        <v>114</v>
      </c>
      <c r="C11" s="4" t="s">
        <v>153</v>
      </c>
      <c r="D11" s="4" t="s">
        <v>154</v>
      </c>
      <c r="E11" s="5">
        <v>75</v>
      </c>
      <c r="F11" s="6">
        <v>1015143.08</v>
      </c>
      <c r="G11" s="6">
        <v>50188.28</v>
      </c>
      <c r="H11" s="6">
        <f t="shared" si="0"/>
        <v>1065331.3599999999</v>
      </c>
      <c r="I11" s="8">
        <v>13.1</v>
      </c>
      <c r="J11" s="6">
        <v>42672</v>
      </c>
      <c r="K11" s="6">
        <v>0</v>
      </c>
      <c r="L11" s="6">
        <f t="shared" si="1"/>
        <v>42672</v>
      </c>
      <c r="M11" s="6">
        <v>116199.56</v>
      </c>
      <c r="N11" s="6">
        <v>0</v>
      </c>
      <c r="O11" s="6">
        <f t="shared" si="2"/>
        <v>1161995.6</v>
      </c>
      <c r="P11" s="6">
        <v>48651</v>
      </c>
      <c r="Q11" s="6">
        <f t="shared" si="3"/>
        <v>1253318.6</v>
      </c>
      <c r="R11" s="23">
        <f t="shared" si="4"/>
        <v>117.64589376210613</v>
      </c>
      <c r="S11" s="6">
        <v>46142</v>
      </c>
      <c r="T11" s="23">
        <f t="shared" si="5"/>
        <v>43.31234555978903</v>
      </c>
    </row>
    <row r="12" spans="1:20" ht="16.5" customHeight="1">
      <c r="A12" s="22" t="s">
        <v>10</v>
      </c>
      <c r="B12" s="4" t="s">
        <v>113</v>
      </c>
      <c r="C12" s="4" t="s">
        <v>136</v>
      </c>
      <c r="D12" s="4" t="s">
        <v>105</v>
      </c>
      <c r="E12" s="5">
        <v>82</v>
      </c>
      <c r="F12" s="6">
        <v>687972.19</v>
      </c>
      <c r="G12" s="6">
        <v>28804.44</v>
      </c>
      <c r="H12" s="6">
        <f t="shared" si="0"/>
        <v>716776.6299999999</v>
      </c>
      <c r="I12" s="8">
        <v>12.15</v>
      </c>
      <c r="J12" s="6">
        <v>117166</v>
      </c>
      <c r="K12" s="6">
        <v>0</v>
      </c>
      <c r="L12" s="6">
        <f t="shared" si="1"/>
        <v>117166</v>
      </c>
      <c r="M12" s="6">
        <v>50057.23</v>
      </c>
      <c r="N12" s="6">
        <v>0</v>
      </c>
      <c r="O12" s="6">
        <f t="shared" si="2"/>
        <v>500572.30000000005</v>
      </c>
      <c r="P12" s="6">
        <v>0</v>
      </c>
      <c r="Q12" s="6">
        <f t="shared" si="3"/>
        <v>617738.3</v>
      </c>
      <c r="R12" s="23">
        <f t="shared" si="4"/>
        <v>86.18281820934929</v>
      </c>
      <c r="S12" s="6">
        <v>31710</v>
      </c>
      <c r="T12" s="23">
        <f t="shared" si="5"/>
        <v>44.23972360817624</v>
      </c>
    </row>
    <row r="13" spans="1:20" ht="16.5" customHeight="1">
      <c r="A13" s="22" t="s">
        <v>11</v>
      </c>
      <c r="B13" s="4" t="s">
        <v>114</v>
      </c>
      <c r="C13" s="4" t="s">
        <v>137</v>
      </c>
      <c r="D13" s="4" t="s">
        <v>122</v>
      </c>
      <c r="E13" s="5">
        <v>59</v>
      </c>
      <c r="F13" s="6">
        <v>541177.49</v>
      </c>
      <c r="G13" s="6">
        <v>144828.65</v>
      </c>
      <c r="H13" s="6">
        <f t="shared" si="0"/>
        <v>686006.14</v>
      </c>
      <c r="I13" s="8">
        <v>11.82</v>
      </c>
      <c r="J13" s="6">
        <v>58126.5</v>
      </c>
      <c r="K13" s="6">
        <v>31638.5</v>
      </c>
      <c r="L13" s="6">
        <f t="shared" si="1"/>
        <v>89765</v>
      </c>
      <c r="M13" s="6">
        <v>61298.37</v>
      </c>
      <c r="N13" s="6">
        <v>0</v>
      </c>
      <c r="O13" s="6">
        <f t="shared" si="2"/>
        <v>612983.7000000001</v>
      </c>
      <c r="P13" s="6">
        <v>0</v>
      </c>
      <c r="Q13" s="6">
        <f t="shared" si="3"/>
        <v>702748.7000000001</v>
      </c>
      <c r="R13" s="23">
        <f t="shared" si="4"/>
        <v>102.44058456969496</v>
      </c>
      <c r="S13" s="6">
        <v>33837</v>
      </c>
      <c r="T13" s="23">
        <f t="shared" si="5"/>
        <v>49.324631409275725</v>
      </c>
    </row>
    <row r="14" spans="1:20" ht="16.5" customHeight="1">
      <c r="A14" s="22" t="s">
        <v>12</v>
      </c>
      <c r="B14" s="4" t="s">
        <v>113</v>
      </c>
      <c r="C14" s="51">
        <v>44259</v>
      </c>
      <c r="D14" s="4">
        <v>80</v>
      </c>
      <c r="E14" s="5">
        <v>80</v>
      </c>
      <c r="F14" s="6">
        <v>1780302.87</v>
      </c>
      <c r="G14" s="6">
        <v>246236.42</v>
      </c>
      <c r="H14" s="6">
        <f t="shared" si="0"/>
        <v>2026539.29</v>
      </c>
      <c r="I14" s="8">
        <v>12.23</v>
      </c>
      <c r="J14" s="6">
        <f>138520.5+27472.67</f>
        <v>165993.16999999998</v>
      </c>
      <c r="K14" s="6">
        <f>65000</f>
        <v>65000</v>
      </c>
      <c r="L14" s="6">
        <f t="shared" si="1"/>
        <v>230993.16999999998</v>
      </c>
      <c r="M14" s="6">
        <f>170064.13</f>
        <v>170064.13</v>
      </c>
      <c r="N14" s="6">
        <f>20000</f>
        <v>20000</v>
      </c>
      <c r="O14" s="6">
        <f t="shared" si="2"/>
        <v>1720641.3</v>
      </c>
      <c r="P14" s="6">
        <f>201823</f>
        <v>201823</v>
      </c>
      <c r="Q14" s="6">
        <f t="shared" si="3"/>
        <v>2153457.4699999997</v>
      </c>
      <c r="R14" s="23">
        <f t="shared" si="4"/>
        <v>106.26280381664841</v>
      </c>
      <c r="S14" s="6">
        <f>78019.89+1271.195</f>
        <v>79291.085</v>
      </c>
      <c r="T14" s="23">
        <f t="shared" si="5"/>
        <v>39.12634972895098</v>
      </c>
    </row>
    <row r="15" spans="1:20" ht="16.5" customHeight="1">
      <c r="A15" s="22" t="s">
        <v>13</v>
      </c>
      <c r="B15" s="4" t="s">
        <v>113</v>
      </c>
      <c r="C15" s="51">
        <v>44259</v>
      </c>
      <c r="D15" s="4">
        <v>80</v>
      </c>
      <c r="E15" s="5">
        <v>80</v>
      </c>
      <c r="F15" s="6">
        <v>2016235.28</v>
      </c>
      <c r="G15" s="6">
        <v>563977.2</v>
      </c>
      <c r="H15" s="6">
        <f t="shared" si="0"/>
        <v>2580212.48</v>
      </c>
      <c r="I15" s="8">
        <v>12.16</v>
      </c>
      <c r="J15" s="6">
        <f>673872.5+42831.89</f>
        <v>716704.39</v>
      </c>
      <c r="K15" s="6">
        <f>68962</f>
        <v>68962</v>
      </c>
      <c r="L15" s="6">
        <f t="shared" si="1"/>
        <v>785666.39</v>
      </c>
      <c r="M15" s="6">
        <f>189871.47</f>
        <v>189871.47</v>
      </c>
      <c r="N15" s="6">
        <v>0</v>
      </c>
      <c r="O15" s="6">
        <f t="shared" si="2"/>
        <v>1898714.7</v>
      </c>
      <c r="P15" s="6">
        <f>20300+21262.909</f>
        <v>41562.909</v>
      </c>
      <c r="Q15" s="6">
        <f t="shared" si="3"/>
        <v>2725943.999</v>
      </c>
      <c r="R15" s="23">
        <f t="shared" si="4"/>
        <v>105.64804333478767</v>
      </c>
      <c r="S15" s="6">
        <f>122951.73+2001.188</f>
        <v>124952.91799999999</v>
      </c>
      <c r="T15" s="23">
        <f t="shared" si="5"/>
        <v>48.42737525244432</v>
      </c>
    </row>
    <row r="16" spans="1:20" ht="16.5" customHeight="1">
      <c r="A16" s="22" t="s">
        <v>14</v>
      </c>
      <c r="B16" s="4" t="s">
        <v>113</v>
      </c>
      <c r="C16" s="4" t="s">
        <v>134</v>
      </c>
      <c r="D16" s="4" t="s">
        <v>100</v>
      </c>
      <c r="E16" s="5">
        <v>86</v>
      </c>
      <c r="F16" s="6">
        <v>1920160.18</v>
      </c>
      <c r="G16" s="6">
        <v>1128821.86</v>
      </c>
      <c r="H16" s="6">
        <f t="shared" si="0"/>
        <v>3048982.04</v>
      </c>
      <c r="I16" s="8">
        <v>12.51</v>
      </c>
      <c r="J16" s="6">
        <v>158345.5</v>
      </c>
      <c r="K16" s="6">
        <v>294779</v>
      </c>
      <c r="L16" s="6">
        <f t="shared" si="1"/>
        <v>453124.5</v>
      </c>
      <c r="M16" s="6">
        <v>294136.03</v>
      </c>
      <c r="N16" s="6">
        <v>0</v>
      </c>
      <c r="O16" s="6">
        <f t="shared" si="2"/>
        <v>2941360.3000000003</v>
      </c>
      <c r="P16" s="6">
        <v>63141.634000000005</v>
      </c>
      <c r="Q16" s="6">
        <f t="shared" si="3"/>
        <v>3457626.4340000004</v>
      </c>
      <c r="R16" s="23">
        <f t="shared" si="4"/>
        <v>113.40265008579718</v>
      </c>
      <c r="S16" s="6">
        <v>139559.77</v>
      </c>
      <c r="T16" s="23">
        <f t="shared" si="5"/>
        <v>45.772578575110266</v>
      </c>
    </row>
    <row r="17" spans="1:20" ht="16.5" customHeight="1">
      <c r="A17" s="22" t="s">
        <v>15</v>
      </c>
      <c r="B17" s="4" t="s">
        <v>113</v>
      </c>
      <c r="C17" s="4" t="s">
        <v>138</v>
      </c>
      <c r="D17" s="4" t="s">
        <v>139</v>
      </c>
      <c r="E17" s="5">
        <v>85</v>
      </c>
      <c r="F17" s="6">
        <v>1402684.84</v>
      </c>
      <c r="G17" s="6">
        <v>224612.07</v>
      </c>
      <c r="H17" s="6">
        <f t="shared" si="0"/>
        <v>1627296.9100000001</v>
      </c>
      <c r="I17" s="8">
        <v>12.01</v>
      </c>
      <c r="J17" s="6">
        <v>85105</v>
      </c>
      <c r="K17" s="6">
        <v>331408</v>
      </c>
      <c r="L17" s="6">
        <f t="shared" si="1"/>
        <v>416513</v>
      </c>
      <c r="M17" s="6">
        <v>127564.27</v>
      </c>
      <c r="N17" s="6">
        <v>0</v>
      </c>
      <c r="O17" s="6">
        <f t="shared" si="2"/>
        <v>1275642.7</v>
      </c>
      <c r="P17" s="6">
        <v>34928</v>
      </c>
      <c r="Q17" s="6">
        <f t="shared" si="3"/>
        <v>1727083.7</v>
      </c>
      <c r="R17" s="23">
        <f t="shared" si="4"/>
        <v>106.13205797828252</v>
      </c>
      <c r="S17" s="6">
        <v>70378</v>
      </c>
      <c r="T17" s="23">
        <f t="shared" si="5"/>
        <v>43.24840756933533</v>
      </c>
    </row>
    <row r="18" spans="1:20" ht="16.5" customHeight="1">
      <c r="A18" s="22" t="s">
        <v>16</v>
      </c>
      <c r="B18" s="4" t="s">
        <v>113</v>
      </c>
      <c r="C18" s="4" t="s">
        <v>140</v>
      </c>
      <c r="D18" s="4" t="s">
        <v>106</v>
      </c>
      <c r="E18" s="5">
        <v>83</v>
      </c>
      <c r="F18" s="6">
        <v>643576.51</v>
      </c>
      <c r="G18" s="6">
        <v>172479.57</v>
      </c>
      <c r="H18" s="6">
        <f t="shared" si="0"/>
        <v>816056.0800000001</v>
      </c>
      <c r="I18" s="8">
        <v>12.18</v>
      </c>
      <c r="J18" s="6">
        <v>0</v>
      </c>
      <c r="K18" s="6">
        <v>0</v>
      </c>
      <c r="L18" s="6">
        <f t="shared" si="1"/>
        <v>0</v>
      </c>
      <c r="M18" s="6">
        <v>75096.76</v>
      </c>
      <c r="N18" s="6">
        <v>117110</v>
      </c>
      <c r="O18" s="6">
        <f t="shared" si="2"/>
        <v>868077.6</v>
      </c>
      <c r="P18" s="6">
        <v>76440</v>
      </c>
      <c r="Q18" s="6">
        <f t="shared" si="3"/>
        <v>944517.6</v>
      </c>
      <c r="R18" s="23">
        <f t="shared" si="4"/>
        <v>115.74175147374675</v>
      </c>
      <c r="S18" s="6">
        <v>34875</v>
      </c>
      <c r="T18" s="23">
        <f t="shared" si="5"/>
        <v>42.73603353338167</v>
      </c>
    </row>
    <row r="19" spans="1:20" ht="16.5" customHeight="1">
      <c r="A19" s="24" t="s">
        <v>17</v>
      </c>
      <c r="B19" s="24"/>
      <c r="C19" s="24"/>
      <c r="D19" s="25"/>
      <c r="E19" s="25"/>
      <c r="F19" s="26">
        <f>SUM(F9:F18)</f>
        <v>12801525.4</v>
      </c>
      <c r="G19" s="26">
        <f>SUM(G9:G18)</f>
        <v>2876539.01</v>
      </c>
      <c r="H19" s="26">
        <f>SUM(H9:H18)</f>
        <v>15678064.409999998</v>
      </c>
      <c r="I19" s="27">
        <f>((H9*I9)+(H10*I10)+(H11*I11)+(H12*I12)+(H13*I13)+(H14*I14)+(H15*I15)+(H16*I16)+(H17*I17)+(H18*I18))/H19</f>
        <v>12.276574624896572</v>
      </c>
      <c r="J19" s="26">
        <f>SUM(J9:J18)</f>
        <v>1681129.06</v>
      </c>
      <c r="K19" s="26">
        <f>SUM(K9:K18)</f>
        <v>1273591</v>
      </c>
      <c r="L19" s="26">
        <f>SUM(L9:L18)</f>
        <v>2954720.06</v>
      </c>
      <c r="M19" s="26">
        <f>SUM(M9:M18)</f>
        <v>1337336.7249999999</v>
      </c>
      <c r="N19" s="26">
        <f>SUM(N9:N18)</f>
        <v>137110</v>
      </c>
      <c r="O19" s="26">
        <f t="shared" si="2"/>
        <v>13510477.249999998</v>
      </c>
      <c r="P19" s="26">
        <f>SUM(P9:P18)</f>
        <v>545968.0430000001</v>
      </c>
      <c r="Q19" s="26">
        <f>SUM(Q9:Q18)</f>
        <v>17011165.353</v>
      </c>
      <c r="R19" s="28">
        <f t="shared" si="4"/>
        <v>108.5029689133673</v>
      </c>
      <c r="S19" s="26">
        <f>SUM(S9:S18)</f>
        <v>691463.596</v>
      </c>
      <c r="T19" s="28">
        <f t="shared" si="5"/>
        <v>44.10388794926504</v>
      </c>
    </row>
    <row r="20" spans="1:20" ht="16.5" customHeight="1">
      <c r="A20" s="22" t="s">
        <v>18</v>
      </c>
      <c r="B20" s="22"/>
      <c r="C20" s="22"/>
      <c r="D20" s="4"/>
      <c r="E20" s="4"/>
      <c r="F20" s="22"/>
      <c r="G20" s="22"/>
      <c r="H20" s="22"/>
      <c r="I20" s="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6.5" customHeight="1">
      <c r="A21" s="22" t="s">
        <v>19</v>
      </c>
      <c r="B21" s="4" t="s">
        <v>113</v>
      </c>
      <c r="C21" s="4" t="s">
        <v>134</v>
      </c>
      <c r="D21" s="4" t="s">
        <v>100</v>
      </c>
      <c r="E21" s="5">
        <v>86</v>
      </c>
      <c r="F21" s="6">
        <v>657253.6</v>
      </c>
      <c r="G21" s="6">
        <v>281052.99</v>
      </c>
      <c r="H21" s="6">
        <f t="shared" si="0"/>
        <v>938306.59</v>
      </c>
      <c r="I21" s="8">
        <v>11.94</v>
      </c>
      <c r="J21" s="6">
        <v>83110.4672</v>
      </c>
      <c r="K21" s="6">
        <v>246999</v>
      </c>
      <c r="L21" s="6">
        <f aca="true" t="shared" si="6" ref="L21:L40">J21+K21</f>
        <v>330109.4672</v>
      </c>
      <c r="M21" s="6">
        <v>68773.814</v>
      </c>
      <c r="N21" s="6">
        <v>0</v>
      </c>
      <c r="O21" s="6">
        <f t="shared" si="2"/>
        <v>687738.14</v>
      </c>
      <c r="P21" s="6">
        <v>0</v>
      </c>
      <c r="Q21" s="6">
        <f aca="true" t="shared" si="7" ref="Q21:Q40">L21+O21+P21</f>
        <v>1017847.6072</v>
      </c>
      <c r="R21" s="23">
        <f aca="true" t="shared" si="8" ref="R21:R41">Q21*100/H21</f>
        <v>108.47708180329417</v>
      </c>
      <c r="S21" s="6">
        <f>40734.29</f>
        <v>40734.29</v>
      </c>
      <c r="T21" s="23">
        <f aca="true" t="shared" si="9" ref="T21:T41">S21*1000/H21</f>
        <v>43.412558788487246</v>
      </c>
    </row>
    <row r="22" spans="1:20" ht="16.5" customHeight="1">
      <c r="A22" s="22" t="s">
        <v>20</v>
      </c>
      <c r="B22" s="4" t="s">
        <v>115</v>
      </c>
      <c r="C22" s="4" t="s">
        <v>141</v>
      </c>
      <c r="D22" s="4" t="s">
        <v>128</v>
      </c>
      <c r="E22" s="5">
        <v>72</v>
      </c>
      <c r="F22" s="6">
        <v>78499.82</v>
      </c>
      <c r="G22" s="6">
        <v>98772.69</v>
      </c>
      <c r="H22" s="6">
        <f t="shared" si="0"/>
        <v>177272.51</v>
      </c>
      <c r="I22" s="8">
        <v>11.47</v>
      </c>
      <c r="J22" s="6">
        <v>0</v>
      </c>
      <c r="K22" s="6">
        <v>0</v>
      </c>
      <c r="L22" s="6">
        <f t="shared" si="6"/>
        <v>0</v>
      </c>
      <c r="M22" s="6">
        <v>18943.09</v>
      </c>
      <c r="N22" s="6">
        <v>1600</v>
      </c>
      <c r="O22" s="6">
        <f t="shared" si="2"/>
        <v>191030.9</v>
      </c>
      <c r="P22" s="6">
        <v>0</v>
      </c>
      <c r="Q22" s="6">
        <f t="shared" si="7"/>
        <v>191030.9</v>
      </c>
      <c r="R22" s="23">
        <f t="shared" si="8"/>
        <v>107.76115258931009</v>
      </c>
      <c r="S22" s="6">
        <v>7568.24</v>
      </c>
      <c r="T22" s="23">
        <f t="shared" si="9"/>
        <v>42.692688223346074</v>
      </c>
    </row>
    <row r="23" spans="1:20" ht="16.5" customHeight="1">
      <c r="A23" s="22" t="s">
        <v>21</v>
      </c>
      <c r="B23" s="4" t="s">
        <v>117</v>
      </c>
      <c r="C23" s="51">
        <v>44256</v>
      </c>
      <c r="D23" s="4">
        <v>70</v>
      </c>
      <c r="E23" s="5">
        <v>70</v>
      </c>
      <c r="F23" s="6">
        <v>394477.3</v>
      </c>
      <c r="G23" s="6">
        <v>75807.4</v>
      </c>
      <c r="H23" s="6">
        <f t="shared" si="0"/>
        <v>470284.69999999995</v>
      </c>
      <c r="I23" s="8">
        <v>11.17</v>
      </c>
      <c r="J23" s="6">
        <f>40758.5</f>
        <v>40758.5</v>
      </c>
      <c r="K23" s="6">
        <v>0</v>
      </c>
      <c r="L23" s="6">
        <f t="shared" si="6"/>
        <v>40758.5</v>
      </c>
      <c r="M23" s="6">
        <f>36670-3331.14</f>
        <v>33338.86</v>
      </c>
      <c r="N23" s="6">
        <v>9814</v>
      </c>
      <c r="O23" s="6">
        <f t="shared" si="2"/>
        <v>343202.6</v>
      </c>
      <c r="P23" s="6">
        <v>32194</v>
      </c>
      <c r="Q23" s="6">
        <f t="shared" si="7"/>
        <v>416155.1</v>
      </c>
      <c r="R23" s="23">
        <f t="shared" si="8"/>
        <v>88.49003592929985</v>
      </c>
      <c r="S23" s="6">
        <v>20826</v>
      </c>
      <c r="T23" s="23">
        <f t="shared" si="9"/>
        <v>44.28381361332827</v>
      </c>
    </row>
    <row r="24" spans="1:20" ht="16.5" customHeight="1">
      <c r="A24" s="22" t="s">
        <v>22</v>
      </c>
      <c r="B24" s="4" t="s">
        <v>118</v>
      </c>
      <c r="C24" s="4" t="s">
        <v>155</v>
      </c>
      <c r="D24" s="4" t="s">
        <v>156</v>
      </c>
      <c r="E24" s="5">
        <v>74</v>
      </c>
      <c r="F24" s="6">
        <v>575914.45</v>
      </c>
      <c r="G24" s="6">
        <v>185125.71</v>
      </c>
      <c r="H24" s="6">
        <f t="shared" si="0"/>
        <v>761040.1599999999</v>
      </c>
      <c r="I24" s="8">
        <v>12.39</v>
      </c>
      <c r="J24" s="6">
        <v>0</v>
      </c>
      <c r="K24" s="6">
        <v>302943</v>
      </c>
      <c r="L24" s="6">
        <f t="shared" si="6"/>
        <v>302943</v>
      </c>
      <c r="M24" s="6">
        <v>46221.72</v>
      </c>
      <c r="N24" s="6">
        <v>0</v>
      </c>
      <c r="O24" s="6">
        <f t="shared" si="2"/>
        <v>462217.2</v>
      </c>
      <c r="P24" s="6">
        <v>0</v>
      </c>
      <c r="Q24" s="6">
        <f t="shared" si="7"/>
        <v>765160.2</v>
      </c>
      <c r="R24" s="23">
        <f t="shared" si="8"/>
        <v>100.54136959079796</v>
      </c>
      <c r="S24" s="6">
        <v>29840</v>
      </c>
      <c r="T24" s="23">
        <f t="shared" si="9"/>
        <v>39.209494542311674</v>
      </c>
    </row>
    <row r="25" spans="1:20" ht="16.5" customHeight="1">
      <c r="A25" s="22" t="s">
        <v>23</v>
      </c>
      <c r="B25" s="4" t="s">
        <v>118</v>
      </c>
      <c r="C25" s="4" t="s">
        <v>142</v>
      </c>
      <c r="D25" s="4">
        <v>99</v>
      </c>
      <c r="E25" s="5">
        <v>99</v>
      </c>
      <c r="F25" s="6">
        <v>546489.41</v>
      </c>
      <c r="G25" s="6">
        <v>69268.98</v>
      </c>
      <c r="H25" s="6">
        <f t="shared" si="0"/>
        <v>615758.39</v>
      </c>
      <c r="I25" s="8">
        <v>12.15</v>
      </c>
      <c r="J25" s="6">
        <f>67826+173625</f>
        <v>241451</v>
      </c>
      <c r="K25" s="6">
        <v>201158</v>
      </c>
      <c r="L25" s="6">
        <f t="shared" si="6"/>
        <v>442609</v>
      </c>
      <c r="M25" s="6">
        <f>24808.4-17899.9</f>
        <v>6908.5</v>
      </c>
      <c r="N25" s="6">
        <v>0</v>
      </c>
      <c r="O25" s="6">
        <f t="shared" si="2"/>
        <v>69085</v>
      </c>
      <c r="P25" s="6">
        <v>74269</v>
      </c>
      <c r="Q25" s="6">
        <f t="shared" si="7"/>
        <v>585963</v>
      </c>
      <c r="R25" s="23">
        <f t="shared" si="8"/>
        <v>95.16118814069264</v>
      </c>
      <c r="S25" s="6">
        <f>27181+530</f>
        <v>27711</v>
      </c>
      <c r="T25" s="23">
        <f t="shared" si="9"/>
        <v>45.00304088426631</v>
      </c>
    </row>
    <row r="26" spans="1:20" ht="16.5" customHeight="1">
      <c r="A26" s="22" t="s">
        <v>24</v>
      </c>
      <c r="B26" s="4" t="s">
        <v>118</v>
      </c>
      <c r="C26" s="51">
        <v>44286</v>
      </c>
      <c r="D26" s="4">
        <v>87</v>
      </c>
      <c r="E26" s="5">
        <v>87</v>
      </c>
      <c r="F26" s="6">
        <v>463662.07</v>
      </c>
      <c r="G26" s="6">
        <v>94419.33</v>
      </c>
      <c r="H26" s="6">
        <f t="shared" si="0"/>
        <v>558081.4</v>
      </c>
      <c r="I26" s="8">
        <v>11.99</v>
      </c>
      <c r="J26" s="6">
        <f>87565+71935</f>
        <v>159500</v>
      </c>
      <c r="K26" s="6">
        <f>332135+32200</f>
        <v>364335</v>
      </c>
      <c r="L26" s="6">
        <f t="shared" si="6"/>
        <v>523835</v>
      </c>
      <c r="M26" s="6">
        <f>12238.74-9474.45</f>
        <v>2764.289999999999</v>
      </c>
      <c r="N26" s="6">
        <v>0</v>
      </c>
      <c r="O26" s="6">
        <f t="shared" si="2"/>
        <v>27642.89999999999</v>
      </c>
      <c r="P26" s="6">
        <v>0</v>
      </c>
      <c r="Q26" s="6">
        <f t="shared" si="7"/>
        <v>551477.9</v>
      </c>
      <c r="R26" s="23">
        <f t="shared" si="8"/>
        <v>98.81674967128451</v>
      </c>
      <c r="S26" s="6">
        <f>23213+1713</f>
        <v>24926</v>
      </c>
      <c r="T26" s="23">
        <f t="shared" si="9"/>
        <v>44.663735433576534</v>
      </c>
    </row>
    <row r="27" spans="1:20" ht="16.5" customHeight="1">
      <c r="A27" s="22" t="s">
        <v>25</v>
      </c>
      <c r="B27" s="4" t="s">
        <v>118</v>
      </c>
      <c r="C27" s="4" t="s">
        <v>142</v>
      </c>
      <c r="D27" s="4" t="s">
        <v>128</v>
      </c>
      <c r="E27" s="5">
        <v>72</v>
      </c>
      <c r="F27" s="6">
        <v>802268.61</v>
      </c>
      <c r="G27" s="6">
        <v>137387.74</v>
      </c>
      <c r="H27" s="6">
        <f t="shared" si="0"/>
        <v>939656.35</v>
      </c>
      <c r="I27" s="8">
        <v>12.07</v>
      </c>
      <c r="J27" s="6">
        <v>230422.5</v>
      </c>
      <c r="K27" s="6">
        <v>311472.5</v>
      </c>
      <c r="L27" s="6">
        <f t="shared" si="6"/>
        <v>541895</v>
      </c>
      <c r="M27" s="6">
        <v>37909.19</v>
      </c>
      <c r="N27" s="6">
        <v>0</v>
      </c>
      <c r="O27" s="6">
        <f t="shared" si="2"/>
        <v>379091.9</v>
      </c>
      <c r="P27" s="6">
        <v>0</v>
      </c>
      <c r="Q27" s="6">
        <f t="shared" si="7"/>
        <v>920986.9</v>
      </c>
      <c r="R27" s="23">
        <f t="shared" si="8"/>
        <v>98.01316193946862</v>
      </c>
      <c r="S27" s="6">
        <v>42443.273</v>
      </c>
      <c r="T27" s="23">
        <f t="shared" si="9"/>
        <v>45.168931173614695</v>
      </c>
    </row>
    <row r="28" spans="1:20" ht="16.5" customHeight="1">
      <c r="A28" s="22" t="s">
        <v>26</v>
      </c>
      <c r="B28" s="4" t="s">
        <v>119</v>
      </c>
      <c r="C28" s="4" t="s">
        <v>132</v>
      </c>
      <c r="D28" s="4" t="s">
        <v>102</v>
      </c>
      <c r="E28" s="5">
        <v>78</v>
      </c>
      <c r="F28" s="6">
        <v>953399.6</v>
      </c>
      <c r="G28" s="6">
        <v>169979.73</v>
      </c>
      <c r="H28" s="6">
        <f t="shared" si="0"/>
        <v>1123379.33</v>
      </c>
      <c r="I28" s="8">
        <v>11.78</v>
      </c>
      <c r="J28" s="6">
        <v>294918</v>
      </c>
      <c r="K28" s="6">
        <v>222845.6</v>
      </c>
      <c r="L28" s="6">
        <f t="shared" si="6"/>
        <v>517763.6</v>
      </c>
      <c r="M28" s="6">
        <v>56817.94</v>
      </c>
      <c r="N28" s="6">
        <v>7000</v>
      </c>
      <c r="O28" s="6">
        <f t="shared" si="2"/>
        <v>575179.4</v>
      </c>
      <c r="P28" s="6">
        <v>7424.59</v>
      </c>
      <c r="Q28" s="6">
        <f t="shared" si="7"/>
        <v>1100367.59</v>
      </c>
      <c r="R28" s="23">
        <f t="shared" si="8"/>
        <v>97.951561027921</v>
      </c>
      <c r="S28" s="6">
        <v>48814.154</v>
      </c>
      <c r="T28" s="23">
        <f t="shared" si="9"/>
        <v>43.45295724819861</v>
      </c>
    </row>
    <row r="29" spans="1:20" ht="16.5" customHeight="1">
      <c r="A29" s="22" t="s">
        <v>27</v>
      </c>
      <c r="B29" s="4" t="s">
        <v>113</v>
      </c>
      <c r="C29" s="4" t="s">
        <v>140</v>
      </c>
      <c r="D29" s="4" t="s">
        <v>106</v>
      </c>
      <c r="E29" s="5">
        <v>83</v>
      </c>
      <c r="F29" s="6">
        <v>1122959.58</v>
      </c>
      <c r="G29" s="6">
        <v>555948.6</v>
      </c>
      <c r="H29" s="6">
        <f t="shared" si="0"/>
        <v>1678908.1800000002</v>
      </c>
      <c r="I29" s="8">
        <v>11.88</v>
      </c>
      <c r="J29" s="6">
        <v>45575</v>
      </c>
      <c r="K29" s="6">
        <v>208471.5</v>
      </c>
      <c r="L29" s="6">
        <f t="shared" si="6"/>
        <v>254046.5</v>
      </c>
      <c r="M29" s="6">
        <v>144719.77</v>
      </c>
      <c r="N29" s="6">
        <v>0</v>
      </c>
      <c r="O29" s="6">
        <f t="shared" si="2"/>
        <v>1447197.7</v>
      </c>
      <c r="P29" s="6">
        <v>89600.65199999999</v>
      </c>
      <c r="Q29" s="6">
        <f t="shared" si="7"/>
        <v>1790844.852</v>
      </c>
      <c r="R29" s="23">
        <f t="shared" si="8"/>
        <v>106.6672301280943</v>
      </c>
      <c r="S29" s="6">
        <v>70724.05</v>
      </c>
      <c r="T29" s="23">
        <f t="shared" si="9"/>
        <v>42.12502556274399</v>
      </c>
    </row>
    <row r="30" spans="1:20" ht="16.5" customHeight="1">
      <c r="A30" s="22" t="s">
        <v>28</v>
      </c>
      <c r="B30" s="4" t="s">
        <v>118</v>
      </c>
      <c r="C30" s="51">
        <v>44278</v>
      </c>
      <c r="D30" s="4">
        <v>79</v>
      </c>
      <c r="E30" s="5">
        <v>79</v>
      </c>
      <c r="F30" s="6">
        <v>761769.06</v>
      </c>
      <c r="G30" s="6">
        <v>76661.16</v>
      </c>
      <c r="H30" s="6">
        <f t="shared" si="0"/>
        <v>838430.2200000001</v>
      </c>
      <c r="I30" s="8">
        <v>12.49</v>
      </c>
      <c r="J30" s="6">
        <f>400820</f>
        <v>400820</v>
      </c>
      <c r="K30" s="6">
        <f>85114.5</f>
        <v>85114.5</v>
      </c>
      <c r="L30" s="6">
        <f t="shared" si="6"/>
        <v>485934.5</v>
      </c>
      <c r="M30" s="6">
        <f>31458.088+2144.405</f>
        <v>33602.493</v>
      </c>
      <c r="N30" s="6">
        <v>0</v>
      </c>
      <c r="O30" s="6">
        <f t="shared" si="2"/>
        <v>336024.93000000005</v>
      </c>
      <c r="P30" s="6">
        <v>0</v>
      </c>
      <c r="Q30" s="6">
        <f t="shared" si="7"/>
        <v>821959.43</v>
      </c>
      <c r="R30" s="23">
        <f t="shared" si="8"/>
        <v>98.03552047539507</v>
      </c>
      <c r="S30" s="12">
        <f>34622.347+2401.862</f>
        <v>37024.209</v>
      </c>
      <c r="T30" s="23">
        <f t="shared" si="9"/>
        <v>44.15896292478579</v>
      </c>
    </row>
    <row r="31" spans="1:20" ht="16.5" customHeight="1">
      <c r="A31" s="22" t="s">
        <v>29</v>
      </c>
      <c r="B31" s="4" t="s">
        <v>118</v>
      </c>
      <c r="C31" s="51">
        <v>44275</v>
      </c>
      <c r="D31" s="4">
        <v>98</v>
      </c>
      <c r="E31" s="5">
        <v>98</v>
      </c>
      <c r="F31" s="6">
        <v>628604.29</v>
      </c>
      <c r="G31" s="6">
        <v>37155.3</v>
      </c>
      <c r="H31" s="6">
        <f t="shared" si="0"/>
        <v>665759.5900000001</v>
      </c>
      <c r="I31" s="8">
        <v>12.27</v>
      </c>
      <c r="J31" s="6">
        <f>250017+55198.5</f>
        <v>305215.5</v>
      </c>
      <c r="K31" s="6">
        <f>198312+81936.5</f>
        <v>280248.5</v>
      </c>
      <c r="L31" s="6">
        <f t="shared" si="6"/>
        <v>585464</v>
      </c>
      <c r="M31" s="6">
        <f>24360.47-14601.5</f>
        <v>9758.970000000001</v>
      </c>
      <c r="N31" s="6">
        <v>0</v>
      </c>
      <c r="O31" s="6">
        <f t="shared" si="2"/>
        <v>97589.70000000001</v>
      </c>
      <c r="P31" s="6">
        <v>0</v>
      </c>
      <c r="Q31" s="6">
        <f t="shared" si="7"/>
        <v>683053.7</v>
      </c>
      <c r="R31" s="23">
        <f t="shared" si="8"/>
        <v>102.59765090278307</v>
      </c>
      <c r="S31" s="6">
        <f>31068.55+1781.6</f>
        <v>32850.15</v>
      </c>
      <c r="T31" s="23">
        <f t="shared" si="9"/>
        <v>49.34236095645276</v>
      </c>
    </row>
    <row r="32" spans="1:20" ht="16.5" customHeight="1">
      <c r="A32" s="22" t="s">
        <v>30</v>
      </c>
      <c r="B32" s="4" t="s">
        <v>113</v>
      </c>
      <c r="C32" s="51">
        <v>44261</v>
      </c>
      <c r="D32" s="4">
        <v>82</v>
      </c>
      <c r="E32" s="5">
        <v>82</v>
      </c>
      <c r="F32" s="6">
        <v>1724375.54</v>
      </c>
      <c r="G32" s="6">
        <v>699022.85</v>
      </c>
      <c r="H32" s="6">
        <f t="shared" si="0"/>
        <v>2423398.39</v>
      </c>
      <c r="I32" s="8">
        <v>11.82</v>
      </c>
      <c r="J32" s="6">
        <f>199629.17+4648.9</f>
        <v>204278.07</v>
      </c>
      <c r="K32" s="6">
        <f>531798.7+11985.9</f>
        <v>543784.6</v>
      </c>
      <c r="L32" s="6">
        <f t="shared" si="6"/>
        <v>748062.6699999999</v>
      </c>
      <c r="M32" s="6">
        <f>125607.897</f>
        <v>125607.897</v>
      </c>
      <c r="N32" s="6">
        <f>206513.8</f>
        <v>206513.8</v>
      </c>
      <c r="O32" s="6">
        <f t="shared" si="2"/>
        <v>1462592.77</v>
      </c>
      <c r="P32" s="6">
        <f>453912.272+2547.2</f>
        <v>456459.472</v>
      </c>
      <c r="Q32" s="6">
        <f t="shared" si="7"/>
        <v>2667114.912</v>
      </c>
      <c r="R32" s="23">
        <f t="shared" si="8"/>
        <v>110.05680795224097</v>
      </c>
      <c r="S32" s="6">
        <f>97003.795+243.24</f>
        <v>97247.035</v>
      </c>
      <c r="T32" s="23">
        <f t="shared" si="9"/>
        <v>40.12837319744196</v>
      </c>
    </row>
    <row r="33" spans="1:24" ht="16.5" customHeight="1">
      <c r="A33" s="22" t="s">
        <v>31</v>
      </c>
      <c r="B33" s="4" t="s">
        <v>118</v>
      </c>
      <c r="C33" s="4" t="s">
        <v>158</v>
      </c>
      <c r="D33" s="4" t="s">
        <v>104</v>
      </c>
      <c r="E33" s="5">
        <v>81</v>
      </c>
      <c r="F33" s="6">
        <v>497408.74</v>
      </c>
      <c r="G33" s="6">
        <v>84208.72</v>
      </c>
      <c r="H33" s="6">
        <f t="shared" si="0"/>
        <v>581617.46</v>
      </c>
      <c r="I33" s="8">
        <v>12.59</v>
      </c>
      <c r="J33" s="6">
        <v>111375</v>
      </c>
      <c r="K33" s="6">
        <v>143800</v>
      </c>
      <c r="L33" s="6">
        <f t="shared" si="6"/>
        <v>255175</v>
      </c>
      <c r="M33" s="6">
        <v>30710.52</v>
      </c>
      <c r="N33" s="6">
        <v>0</v>
      </c>
      <c r="O33" s="6">
        <f t="shared" si="2"/>
        <v>307105.2</v>
      </c>
      <c r="P33" s="6">
        <v>0</v>
      </c>
      <c r="Q33" s="6">
        <f t="shared" si="7"/>
        <v>562280.2</v>
      </c>
      <c r="R33" s="23">
        <f t="shared" si="8"/>
        <v>96.6752614338641</v>
      </c>
      <c r="S33" s="6">
        <v>25124.46</v>
      </c>
      <c r="T33" s="23">
        <f t="shared" si="9"/>
        <v>43.19756838111428</v>
      </c>
      <c r="X33" s="29"/>
    </row>
    <row r="34" spans="1:20" ht="16.5" customHeight="1">
      <c r="A34" s="22" t="s">
        <v>32</v>
      </c>
      <c r="B34" s="4" t="s">
        <v>118</v>
      </c>
      <c r="C34" s="4" t="s">
        <v>143</v>
      </c>
      <c r="D34" s="4" t="s">
        <v>108</v>
      </c>
      <c r="E34" s="5">
        <v>70</v>
      </c>
      <c r="F34" s="6">
        <v>575467.2</v>
      </c>
      <c r="G34" s="6">
        <v>8605.3</v>
      </c>
      <c r="H34" s="6">
        <f t="shared" si="0"/>
        <v>584072.5</v>
      </c>
      <c r="I34" s="8">
        <v>12.55</v>
      </c>
      <c r="J34" s="6">
        <v>201044</v>
      </c>
      <c r="K34" s="6">
        <v>283730</v>
      </c>
      <c r="L34" s="6">
        <f t="shared" si="6"/>
        <v>484774</v>
      </c>
      <c r="M34" s="6">
        <v>16414.403000000002</v>
      </c>
      <c r="N34" s="6">
        <v>0</v>
      </c>
      <c r="O34" s="6">
        <f t="shared" si="2"/>
        <v>164144.03000000003</v>
      </c>
      <c r="P34" s="6">
        <v>0</v>
      </c>
      <c r="Q34" s="6">
        <f t="shared" si="7"/>
        <v>648918.03</v>
      </c>
      <c r="R34" s="23">
        <f t="shared" si="8"/>
        <v>111.10230836069152</v>
      </c>
      <c r="S34" s="6">
        <v>27858.33</v>
      </c>
      <c r="T34" s="23">
        <f t="shared" si="9"/>
        <v>47.69669861190177</v>
      </c>
    </row>
    <row r="35" spans="1:20" ht="16.5" customHeight="1">
      <c r="A35" s="22" t="s">
        <v>33</v>
      </c>
      <c r="B35" s="4" t="s">
        <v>113</v>
      </c>
      <c r="C35" s="4" t="s">
        <v>120</v>
      </c>
      <c r="D35" s="4" t="s">
        <v>116</v>
      </c>
      <c r="E35" s="5">
        <v>66</v>
      </c>
      <c r="F35" s="6">
        <v>178070.85</v>
      </c>
      <c r="G35" s="6">
        <v>248319.04</v>
      </c>
      <c r="H35" s="6">
        <f t="shared" si="0"/>
        <v>426389.89</v>
      </c>
      <c r="I35" s="8">
        <v>12.15</v>
      </c>
      <c r="J35" s="6">
        <v>1342</v>
      </c>
      <c r="K35" s="6">
        <v>20339</v>
      </c>
      <c r="L35" s="6">
        <f t="shared" si="6"/>
        <v>21681</v>
      </c>
      <c r="M35" s="6">
        <v>33734.12</v>
      </c>
      <c r="N35" s="6">
        <v>15045.5</v>
      </c>
      <c r="O35" s="6">
        <f t="shared" si="2"/>
        <v>352386.7</v>
      </c>
      <c r="P35" s="6">
        <v>88765</v>
      </c>
      <c r="Q35" s="6">
        <f t="shared" si="7"/>
        <v>462832.7</v>
      </c>
      <c r="R35" s="23">
        <f t="shared" si="8"/>
        <v>108.54682788093311</v>
      </c>
      <c r="S35" s="6">
        <v>17771.28</v>
      </c>
      <c r="T35" s="23">
        <f t="shared" si="9"/>
        <v>41.6784741308008</v>
      </c>
    </row>
    <row r="36" spans="1:20" ht="16.5" customHeight="1">
      <c r="A36" s="22" t="s">
        <v>34</v>
      </c>
      <c r="B36" s="4" t="s">
        <v>121</v>
      </c>
      <c r="C36" s="4" t="s">
        <v>157</v>
      </c>
      <c r="D36" s="4" t="s">
        <v>139</v>
      </c>
      <c r="E36" s="5">
        <v>85</v>
      </c>
      <c r="F36" s="6">
        <v>315181.05</v>
      </c>
      <c r="G36" s="6">
        <v>15902.62</v>
      </c>
      <c r="H36" s="6">
        <f t="shared" si="0"/>
        <v>331083.67</v>
      </c>
      <c r="I36" s="8">
        <v>12.17</v>
      </c>
      <c r="J36" s="6">
        <v>131668.5</v>
      </c>
      <c r="K36" s="6">
        <v>90909.5</v>
      </c>
      <c r="L36" s="6">
        <f t="shared" si="6"/>
        <v>222578</v>
      </c>
      <c r="M36" s="6">
        <v>12637.415</v>
      </c>
      <c r="N36" s="6">
        <v>0</v>
      </c>
      <c r="O36" s="6">
        <f t="shared" si="2"/>
        <v>126374.15000000001</v>
      </c>
      <c r="P36" s="6">
        <v>0</v>
      </c>
      <c r="Q36" s="6">
        <f t="shared" si="7"/>
        <v>348952.15</v>
      </c>
      <c r="R36" s="23">
        <f t="shared" si="8"/>
        <v>105.39696808362672</v>
      </c>
      <c r="S36" s="6">
        <v>16249.22</v>
      </c>
      <c r="T36" s="23">
        <f t="shared" si="9"/>
        <v>49.078892957783154</v>
      </c>
    </row>
    <row r="37" spans="1:20" ht="16.5" customHeight="1">
      <c r="A37" s="22" t="s">
        <v>35</v>
      </c>
      <c r="B37" s="4" t="s">
        <v>113</v>
      </c>
      <c r="C37" s="4" t="s">
        <v>144</v>
      </c>
      <c r="D37" s="4">
        <v>122</v>
      </c>
      <c r="E37" s="5">
        <v>122</v>
      </c>
      <c r="F37" s="6">
        <v>894836.86</v>
      </c>
      <c r="G37" s="6">
        <v>279673.48</v>
      </c>
      <c r="H37" s="6">
        <f t="shared" si="0"/>
        <v>1174510.3399999999</v>
      </c>
      <c r="I37" s="8">
        <v>12.52</v>
      </c>
      <c r="J37" s="6">
        <f>93205.5+213596</f>
        <v>306801.5</v>
      </c>
      <c r="K37" s="6">
        <f>370610.25+159936.5</f>
        <v>530546.75</v>
      </c>
      <c r="L37" s="6">
        <f t="shared" si="6"/>
        <v>837348.25</v>
      </c>
      <c r="M37" s="6">
        <f>71332.198-39694.566</f>
        <v>31637.632000000005</v>
      </c>
      <c r="N37" s="6">
        <v>23096.1</v>
      </c>
      <c r="O37" s="6">
        <f t="shared" si="2"/>
        <v>339472.42000000004</v>
      </c>
      <c r="P37" s="6">
        <f>194970.05+3909.5</f>
        <v>198879.55</v>
      </c>
      <c r="Q37" s="6">
        <f t="shared" si="7"/>
        <v>1375700.22</v>
      </c>
      <c r="R37" s="23">
        <f t="shared" si="8"/>
        <v>117.1296814636813</v>
      </c>
      <c r="S37" s="6">
        <f>49014.415+515.04</f>
        <v>49529.455</v>
      </c>
      <c r="T37" s="23">
        <f t="shared" si="9"/>
        <v>42.17030137001604</v>
      </c>
    </row>
    <row r="38" spans="1:20" ht="16.5" customHeight="1">
      <c r="A38" s="22" t="s">
        <v>36</v>
      </c>
      <c r="B38" s="4" t="s">
        <v>113</v>
      </c>
      <c r="C38" s="4" t="s">
        <v>145</v>
      </c>
      <c r="D38" s="4" t="s">
        <v>109</v>
      </c>
      <c r="E38" s="5">
        <v>88</v>
      </c>
      <c r="F38" s="6">
        <v>597466.88</v>
      </c>
      <c r="G38" s="6">
        <v>237682.8</v>
      </c>
      <c r="H38" s="6">
        <f t="shared" si="0"/>
        <v>835149.6799999999</v>
      </c>
      <c r="I38" s="8">
        <v>11.77</v>
      </c>
      <c r="J38" s="6">
        <v>388573.5</v>
      </c>
      <c r="K38" s="6">
        <v>0</v>
      </c>
      <c r="L38" s="6">
        <f t="shared" si="6"/>
        <v>388573.5</v>
      </c>
      <c r="M38" s="6">
        <v>51054.710999999996</v>
      </c>
      <c r="N38" s="6">
        <v>0</v>
      </c>
      <c r="O38" s="6">
        <f t="shared" si="2"/>
        <v>510547.11</v>
      </c>
      <c r="P38" s="6">
        <v>0</v>
      </c>
      <c r="Q38" s="6">
        <f t="shared" si="7"/>
        <v>899120.61</v>
      </c>
      <c r="R38" s="23">
        <f t="shared" si="8"/>
        <v>107.65981614217945</v>
      </c>
      <c r="S38" s="6">
        <v>36940.367999999995</v>
      </c>
      <c r="T38" s="23">
        <f t="shared" si="9"/>
        <v>44.23203275369751</v>
      </c>
    </row>
    <row r="39" spans="1:20" ht="16.5" customHeight="1">
      <c r="A39" s="22" t="s">
        <v>37</v>
      </c>
      <c r="B39" s="4" t="s">
        <v>113</v>
      </c>
      <c r="C39" s="4" t="s">
        <v>146</v>
      </c>
      <c r="D39" s="4" t="s">
        <v>103</v>
      </c>
      <c r="E39" s="5">
        <v>79</v>
      </c>
      <c r="F39" s="6">
        <v>536932.55</v>
      </c>
      <c r="G39" s="6">
        <v>204992.29</v>
      </c>
      <c r="H39" s="6">
        <f t="shared" si="0"/>
        <v>741924.8400000001</v>
      </c>
      <c r="I39" s="8">
        <v>12.54</v>
      </c>
      <c r="J39" s="6">
        <v>0</v>
      </c>
      <c r="K39" s="6">
        <v>0</v>
      </c>
      <c r="L39" s="6">
        <f t="shared" si="6"/>
        <v>0</v>
      </c>
      <c r="M39" s="6">
        <v>63634.13</v>
      </c>
      <c r="N39" s="6">
        <v>0</v>
      </c>
      <c r="O39" s="6">
        <f t="shared" si="2"/>
        <v>636341.2999999999</v>
      </c>
      <c r="P39" s="6">
        <v>186460</v>
      </c>
      <c r="Q39" s="6">
        <f t="shared" si="7"/>
        <v>822801.2999999999</v>
      </c>
      <c r="R39" s="23">
        <f t="shared" si="8"/>
        <v>110.90089664608074</v>
      </c>
      <c r="S39" s="6">
        <v>37982.6</v>
      </c>
      <c r="T39" s="23">
        <f t="shared" si="9"/>
        <v>51.194673573673576</v>
      </c>
    </row>
    <row r="40" spans="1:20" ht="16.5" customHeight="1">
      <c r="A40" s="22" t="s">
        <v>38</v>
      </c>
      <c r="B40" s="4" t="s">
        <v>118</v>
      </c>
      <c r="C40" s="4" t="s">
        <v>147</v>
      </c>
      <c r="D40" s="4" t="s">
        <v>110</v>
      </c>
      <c r="E40" s="5">
        <v>71</v>
      </c>
      <c r="F40" s="6">
        <v>585402.09</v>
      </c>
      <c r="G40" s="6">
        <v>24229.91</v>
      </c>
      <c r="H40" s="6">
        <f t="shared" si="0"/>
        <v>609632</v>
      </c>
      <c r="I40" s="8">
        <v>11.86</v>
      </c>
      <c r="J40" s="6">
        <v>0</v>
      </c>
      <c r="K40" s="6">
        <v>0</v>
      </c>
      <c r="L40" s="6">
        <f t="shared" si="6"/>
        <v>0</v>
      </c>
      <c r="M40" s="6">
        <v>63531.524000000005</v>
      </c>
      <c r="N40" s="6">
        <v>0</v>
      </c>
      <c r="O40" s="6">
        <f t="shared" si="2"/>
        <v>635315.24</v>
      </c>
      <c r="P40" s="6">
        <v>20595</v>
      </c>
      <c r="Q40" s="6">
        <f t="shared" si="7"/>
        <v>655910.24</v>
      </c>
      <c r="R40" s="23">
        <f t="shared" si="8"/>
        <v>107.59117631620387</v>
      </c>
      <c r="S40" s="6">
        <v>26511.874</v>
      </c>
      <c r="T40" s="23">
        <f t="shared" si="9"/>
        <v>43.48832410372159</v>
      </c>
    </row>
    <row r="41" spans="1:20" ht="16.5" customHeight="1">
      <c r="A41" s="24" t="s">
        <v>17</v>
      </c>
      <c r="B41" s="24"/>
      <c r="C41" s="24"/>
      <c r="D41" s="25"/>
      <c r="E41" s="25"/>
      <c r="F41" s="26">
        <f>SUM(F21:F40)</f>
        <v>12890439.55</v>
      </c>
      <c r="G41" s="26">
        <f>SUM(G21:G40)</f>
        <v>3584216.64</v>
      </c>
      <c r="H41" s="26">
        <f>SUM(H21:H40)</f>
        <v>16474656.19</v>
      </c>
      <c r="I41" s="27">
        <f>((H21*I21)+(H22*I22)+(H23*I23)+(H24*I24)+(H25*I25)+(H26*I26)+(H27*I27)+(H28*I28)+(H29*I29)+(H30*I30)+(H31*I31)+(H32*I32)+(H33*I33)+(H34*I34)+(H35*I35)+(H36*I36)+(H37*I37)+(H38*I38)+(H39*I39)+(H40*I40))/H41</f>
        <v>12.068779944912466</v>
      </c>
      <c r="J41" s="26">
        <f>SUM(J21:J40)</f>
        <v>3146853.5372</v>
      </c>
      <c r="K41" s="26">
        <f>SUM(K21:K40)</f>
        <v>3836697.45</v>
      </c>
      <c r="L41" s="26">
        <f>SUM(L21:L40)</f>
        <v>6983550.987199999</v>
      </c>
      <c r="M41" s="26">
        <f>SUM(M21:M40)</f>
        <v>888720.9890000001</v>
      </c>
      <c r="N41" s="26">
        <f>SUM(N21:N40)</f>
        <v>263069.39999999997</v>
      </c>
      <c r="O41" s="26">
        <f t="shared" si="2"/>
        <v>9150279.290000001</v>
      </c>
      <c r="P41" s="26">
        <f>SUM(P21:P40)</f>
        <v>1154647.264</v>
      </c>
      <c r="Q41" s="26">
        <f>SUM(Q21:Q40)</f>
        <v>17288477.541199997</v>
      </c>
      <c r="R41" s="28">
        <f t="shared" si="8"/>
        <v>104.93983814784542</v>
      </c>
      <c r="S41" s="26">
        <f>SUM(S21:S40)</f>
        <v>718675.988</v>
      </c>
      <c r="T41" s="28">
        <f t="shared" si="9"/>
        <v>43.6231251026793</v>
      </c>
    </row>
    <row r="42" spans="1:20" ht="16.5" customHeight="1">
      <c r="A42" s="22" t="s">
        <v>39</v>
      </c>
      <c r="B42" s="22"/>
      <c r="C42" s="22"/>
      <c r="D42" s="4"/>
      <c r="E42" s="4"/>
      <c r="F42" s="22"/>
      <c r="G42" s="22"/>
      <c r="H42" s="22"/>
      <c r="I42" s="4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6.5" customHeight="1">
      <c r="A43" s="22" t="s">
        <v>40</v>
      </c>
      <c r="B43" s="4" t="s">
        <v>123</v>
      </c>
      <c r="C43" s="4" t="s">
        <v>148</v>
      </c>
      <c r="D43" s="4" t="s">
        <v>99</v>
      </c>
      <c r="E43" s="5">
        <v>90</v>
      </c>
      <c r="F43" s="6">
        <v>157278.47</v>
      </c>
      <c r="G43" s="6">
        <v>135906.58</v>
      </c>
      <c r="H43" s="6">
        <f t="shared" si="0"/>
        <v>293185.05</v>
      </c>
      <c r="I43" s="8">
        <v>12.56</v>
      </c>
      <c r="J43" s="6">
        <v>0</v>
      </c>
      <c r="K43" s="6">
        <v>0</v>
      </c>
      <c r="L43" s="6">
        <f>J43+K43</f>
        <v>0</v>
      </c>
      <c r="M43" s="6">
        <v>34315.48</v>
      </c>
      <c r="N43" s="6">
        <v>0</v>
      </c>
      <c r="O43" s="6">
        <f t="shared" si="2"/>
        <v>343154.80000000005</v>
      </c>
      <c r="P43" s="6">
        <v>0</v>
      </c>
      <c r="Q43" s="6">
        <f>L43+O43+P43</f>
        <v>343154.80000000005</v>
      </c>
      <c r="R43" s="23">
        <f aca="true" t="shared" si="10" ref="R43:R48">Q43*100/H43</f>
        <v>117.04375785873123</v>
      </c>
      <c r="S43" s="6">
        <v>10779.87</v>
      </c>
      <c r="T43" s="23">
        <f aca="true" t="shared" si="11" ref="T43:T48">S43*1000/H43</f>
        <v>36.76814353255734</v>
      </c>
    </row>
    <row r="44" spans="1:20" ht="16.5" customHeight="1">
      <c r="A44" s="22" t="s">
        <v>41</v>
      </c>
      <c r="B44" s="4" t="s">
        <v>124</v>
      </c>
      <c r="C44" s="4" t="s">
        <v>149</v>
      </c>
      <c r="D44" s="4" t="s">
        <v>100</v>
      </c>
      <c r="E44" s="5">
        <v>86</v>
      </c>
      <c r="F44" s="6">
        <v>240383.68</v>
      </c>
      <c r="G44" s="6">
        <v>262616.54</v>
      </c>
      <c r="H44" s="6">
        <f t="shared" si="0"/>
        <v>503000.22</v>
      </c>
      <c r="I44" s="8">
        <v>12.33</v>
      </c>
      <c r="J44" s="6">
        <v>173466.5</v>
      </c>
      <c r="K44" s="6">
        <v>295429</v>
      </c>
      <c r="L44" s="6">
        <f>J44+K44</f>
        <v>468895.5</v>
      </c>
      <c r="M44" s="6">
        <v>6024.92</v>
      </c>
      <c r="N44" s="6">
        <v>0</v>
      </c>
      <c r="O44" s="6">
        <f t="shared" si="2"/>
        <v>60249.2</v>
      </c>
      <c r="P44" s="6">
        <v>0</v>
      </c>
      <c r="Q44" s="6">
        <f>L44+O44+P44</f>
        <v>529144.7</v>
      </c>
      <c r="R44" s="23">
        <f t="shared" si="10"/>
        <v>105.19770746819951</v>
      </c>
      <c r="S44" s="6">
        <v>20092</v>
      </c>
      <c r="T44" s="23">
        <f t="shared" si="11"/>
        <v>39.94431652534864</v>
      </c>
    </row>
    <row r="45" spans="1:20" ht="16.5" customHeight="1">
      <c r="A45" s="22" t="s">
        <v>42</v>
      </c>
      <c r="B45" s="4" t="s">
        <v>113</v>
      </c>
      <c r="C45" s="51">
        <v>44283</v>
      </c>
      <c r="D45" s="4">
        <v>104</v>
      </c>
      <c r="E45" s="5">
        <v>104</v>
      </c>
      <c r="F45" s="6">
        <v>1257500.41</v>
      </c>
      <c r="G45" s="6">
        <v>1080899.04</v>
      </c>
      <c r="H45" s="6">
        <f t="shared" si="0"/>
        <v>2338399.45</v>
      </c>
      <c r="I45" s="8">
        <v>13.41</v>
      </c>
      <c r="J45" s="6">
        <v>205491.5</v>
      </c>
      <c r="K45" s="6">
        <v>202940</v>
      </c>
      <c r="L45" s="6">
        <f>J45+K45</f>
        <v>408431.5</v>
      </c>
      <c r="M45" s="6">
        <v>218343.48</v>
      </c>
      <c r="N45" s="6">
        <v>100000</v>
      </c>
      <c r="O45" s="6">
        <f t="shared" si="2"/>
        <v>2283434.8000000003</v>
      </c>
      <c r="P45" s="6">
        <v>94172.5</v>
      </c>
      <c r="Q45" s="6">
        <f>L45+O45+P45</f>
        <v>2786038.8000000003</v>
      </c>
      <c r="R45" s="23">
        <f t="shared" si="10"/>
        <v>119.14298046896991</v>
      </c>
      <c r="S45" s="6">
        <v>103100</v>
      </c>
      <c r="T45" s="23">
        <f t="shared" si="11"/>
        <v>44.08998642212304</v>
      </c>
    </row>
    <row r="46" spans="1:20" ht="16.5" customHeight="1">
      <c r="A46" s="22" t="s">
        <v>43</v>
      </c>
      <c r="B46" s="4" t="s">
        <v>125</v>
      </c>
      <c r="C46" s="4" t="s">
        <v>135</v>
      </c>
      <c r="D46" s="4" t="s">
        <v>94</v>
      </c>
      <c r="E46" s="5">
        <v>98</v>
      </c>
      <c r="F46" s="6">
        <v>154991.23</v>
      </c>
      <c r="G46" s="6">
        <v>222552.45</v>
      </c>
      <c r="H46" s="6">
        <f t="shared" si="0"/>
        <v>377543.68000000005</v>
      </c>
      <c r="I46" s="8">
        <v>12.41</v>
      </c>
      <c r="J46" s="6">
        <v>124141</v>
      </c>
      <c r="K46" s="6">
        <v>0</v>
      </c>
      <c r="L46" s="6">
        <f>J46+K46</f>
        <v>124141</v>
      </c>
      <c r="M46" s="6">
        <v>16970.19</v>
      </c>
      <c r="N46" s="6">
        <v>0</v>
      </c>
      <c r="O46" s="6">
        <f t="shared" si="2"/>
        <v>169701.9</v>
      </c>
      <c r="P46" s="6">
        <v>84761.5</v>
      </c>
      <c r="Q46" s="6">
        <f>L46+O46+P46</f>
        <v>378604.4</v>
      </c>
      <c r="R46" s="23">
        <f t="shared" si="10"/>
        <v>100.28095292179171</v>
      </c>
      <c r="S46" s="6">
        <v>21497.95</v>
      </c>
      <c r="T46" s="23">
        <f t="shared" si="11"/>
        <v>56.941623284489886</v>
      </c>
    </row>
    <row r="47" spans="1:20" ht="16.5" customHeight="1">
      <c r="A47" s="22" t="s">
        <v>95</v>
      </c>
      <c r="B47" s="4" t="s">
        <v>114</v>
      </c>
      <c r="C47" s="51">
        <v>44284</v>
      </c>
      <c r="D47" s="4">
        <v>84</v>
      </c>
      <c r="E47" s="5">
        <v>84</v>
      </c>
      <c r="F47" s="6">
        <v>283141.93</v>
      </c>
      <c r="G47" s="6">
        <v>181133.51</v>
      </c>
      <c r="H47" s="6">
        <f t="shared" si="0"/>
        <v>464275.44</v>
      </c>
      <c r="I47" s="8">
        <v>13.92</v>
      </c>
      <c r="J47" s="6">
        <v>0</v>
      </c>
      <c r="K47" s="6">
        <v>0</v>
      </c>
      <c r="L47" s="6">
        <f>J47+K47</f>
        <v>0</v>
      </c>
      <c r="M47" s="6">
        <v>59388.81</v>
      </c>
      <c r="N47" s="6">
        <v>0</v>
      </c>
      <c r="O47" s="6">
        <f t="shared" si="2"/>
        <v>593888.1</v>
      </c>
      <c r="P47" s="6">
        <v>0</v>
      </c>
      <c r="Q47" s="6">
        <f>L47+O47+P47</f>
        <v>593888.1</v>
      </c>
      <c r="R47" s="23">
        <f t="shared" si="10"/>
        <v>127.91719070903255</v>
      </c>
      <c r="S47" s="6">
        <v>17950</v>
      </c>
      <c r="T47" s="23">
        <f t="shared" si="11"/>
        <v>38.66239403057806</v>
      </c>
    </row>
    <row r="48" spans="1:20" ht="16.5" customHeight="1">
      <c r="A48" s="24" t="s">
        <v>17</v>
      </c>
      <c r="B48" s="24"/>
      <c r="C48" s="24"/>
      <c r="D48" s="25"/>
      <c r="E48" s="25"/>
      <c r="F48" s="26">
        <f>SUM(F43:F47)</f>
        <v>2093295.72</v>
      </c>
      <c r="G48" s="26">
        <f>SUM(G43:G47)</f>
        <v>1883108.12</v>
      </c>
      <c r="H48" s="26">
        <f>SUM(H43:H47)</f>
        <v>3976403.8400000003</v>
      </c>
      <c r="I48" s="27">
        <f>((H43*I43)+(H44*I44)+(H45*I45)+(H46*I46)+(H47*I47))/H48</f>
        <v>13.175312887410348</v>
      </c>
      <c r="J48" s="26">
        <f>SUM(J43:J47)</f>
        <v>503099</v>
      </c>
      <c r="K48" s="26">
        <f>SUM(K43:K47)</f>
        <v>498369</v>
      </c>
      <c r="L48" s="26">
        <f>SUM(L43:L47)</f>
        <v>1001468</v>
      </c>
      <c r="M48" s="26">
        <f>SUM(M43:M47)</f>
        <v>335042.88</v>
      </c>
      <c r="N48" s="26">
        <f>SUM(N43:N47)</f>
        <v>100000</v>
      </c>
      <c r="O48" s="26">
        <f t="shared" si="2"/>
        <v>3450428.8</v>
      </c>
      <c r="P48" s="26">
        <f>SUM(P43:P47)</f>
        <v>178934</v>
      </c>
      <c r="Q48" s="26">
        <f>SUM(Q43:Q47)</f>
        <v>4630830.8</v>
      </c>
      <c r="R48" s="28">
        <f t="shared" si="10"/>
        <v>116.45775897852467</v>
      </c>
      <c r="S48" s="26">
        <f>SUM(S43:S47)</f>
        <v>173419.82</v>
      </c>
      <c r="T48" s="28">
        <f t="shared" si="11"/>
        <v>43.61222526130545</v>
      </c>
    </row>
    <row r="49" spans="1:20" ht="16.5" customHeight="1">
      <c r="A49" s="22" t="s">
        <v>44</v>
      </c>
      <c r="B49" s="22"/>
      <c r="C49" s="22"/>
      <c r="D49" s="4"/>
      <c r="E49" s="4"/>
      <c r="F49" s="22"/>
      <c r="G49" s="22"/>
      <c r="H49" s="22"/>
      <c r="I49" s="4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6.5" customHeight="1">
      <c r="A50" s="22" t="s">
        <v>45</v>
      </c>
      <c r="B50" s="4" t="s">
        <v>124</v>
      </c>
      <c r="C50" s="51">
        <v>44266</v>
      </c>
      <c r="D50" s="4">
        <v>116</v>
      </c>
      <c r="E50" s="5">
        <v>116</v>
      </c>
      <c r="F50" s="6">
        <v>935813.79</v>
      </c>
      <c r="G50" s="6">
        <v>154232.33</v>
      </c>
      <c r="H50" s="6">
        <f aca="true" t="shared" si="12" ref="H50:H71">F50+G50</f>
        <v>1090046.12</v>
      </c>
      <c r="I50" s="8">
        <v>13.8</v>
      </c>
      <c r="J50" s="6">
        <f>30392+38775</f>
        <v>69167</v>
      </c>
      <c r="K50" s="6">
        <f>863546.942+161799.5</f>
        <v>1025346.442</v>
      </c>
      <c r="L50" s="6">
        <f aca="true" t="shared" si="13" ref="L50:L71">J50+K50</f>
        <v>1094513.442</v>
      </c>
      <c r="M50" s="6">
        <f>30439.69-18611.5</f>
        <v>11828.189999999999</v>
      </c>
      <c r="N50" s="6">
        <v>0</v>
      </c>
      <c r="O50" s="6">
        <f t="shared" si="2"/>
        <v>118281.9</v>
      </c>
      <c r="P50" s="6">
        <v>0</v>
      </c>
      <c r="Q50" s="6">
        <f aca="true" t="shared" si="14" ref="Q50:Q71">L50+O50+P50</f>
        <v>1212795.342</v>
      </c>
      <c r="R50" s="23">
        <f aca="true" t="shared" si="15" ref="R50:R73">Q50*100/H50</f>
        <v>111.2609200425391</v>
      </c>
      <c r="S50" s="6">
        <f>39170.09+5492.48</f>
        <v>44662.56999999999</v>
      </c>
      <c r="T50" s="23">
        <f aca="true" t="shared" si="16" ref="T50:T73">S50*1000/H50</f>
        <v>40.97310121153405</v>
      </c>
    </row>
    <row r="51" spans="1:20" ht="16.5" customHeight="1">
      <c r="A51" s="22" t="s">
        <v>46</v>
      </c>
      <c r="B51" s="4" t="s">
        <v>113</v>
      </c>
      <c r="C51" s="51">
        <v>44262</v>
      </c>
      <c r="D51" s="4">
        <v>83</v>
      </c>
      <c r="E51" s="5">
        <v>83</v>
      </c>
      <c r="F51" s="6">
        <v>216074.3</v>
      </c>
      <c r="G51" s="6">
        <v>364602.39</v>
      </c>
      <c r="H51" s="6">
        <f t="shared" si="12"/>
        <v>580676.69</v>
      </c>
      <c r="I51" s="8">
        <v>14.09</v>
      </c>
      <c r="J51" s="6">
        <f>157824+45843</f>
        <v>203667</v>
      </c>
      <c r="K51" s="6">
        <v>0</v>
      </c>
      <c r="L51" s="6">
        <f t="shared" si="13"/>
        <v>203667</v>
      </c>
      <c r="M51" s="6">
        <f>53368.78-4143.77</f>
        <v>49225.009999999995</v>
      </c>
      <c r="N51" s="6">
        <v>0</v>
      </c>
      <c r="O51" s="6">
        <f t="shared" si="2"/>
        <v>492250.1</v>
      </c>
      <c r="P51" s="6">
        <v>0</v>
      </c>
      <c r="Q51" s="6">
        <f t="shared" si="14"/>
        <v>695917.1</v>
      </c>
      <c r="R51" s="23">
        <f t="shared" si="15"/>
        <v>119.84588187963944</v>
      </c>
      <c r="S51" s="6">
        <f>23755.05+1083.68</f>
        <v>24838.73</v>
      </c>
      <c r="T51" s="23">
        <f t="shared" si="16"/>
        <v>42.775490092429926</v>
      </c>
    </row>
    <row r="52" spans="1:20" ht="16.5" customHeight="1">
      <c r="A52" s="22" t="s">
        <v>47</v>
      </c>
      <c r="B52" s="4" t="s">
        <v>125</v>
      </c>
      <c r="C52" s="4" t="s">
        <v>137</v>
      </c>
      <c r="D52" s="4" t="s">
        <v>139</v>
      </c>
      <c r="E52" s="5">
        <v>85</v>
      </c>
      <c r="F52" s="6">
        <v>1114756.77</v>
      </c>
      <c r="G52" s="6">
        <v>1094429.95</v>
      </c>
      <c r="H52" s="6">
        <f t="shared" si="12"/>
        <v>2209186.7199999997</v>
      </c>
      <c r="I52" s="8">
        <v>14.07</v>
      </c>
      <c r="J52" s="6">
        <v>0</v>
      </c>
      <c r="K52" s="6">
        <v>0</v>
      </c>
      <c r="L52" s="6">
        <f t="shared" si="13"/>
        <v>0</v>
      </c>
      <c r="M52" s="6">
        <v>179426.39</v>
      </c>
      <c r="N52" s="6">
        <v>713311.7</v>
      </c>
      <c r="O52" s="6">
        <f t="shared" si="2"/>
        <v>2507575.6</v>
      </c>
      <c r="P52" s="6">
        <v>377003.25</v>
      </c>
      <c r="Q52" s="6">
        <f t="shared" si="14"/>
        <v>2884578.85</v>
      </c>
      <c r="R52" s="23">
        <f t="shared" si="15"/>
        <v>130.57198035302332</v>
      </c>
      <c r="S52" s="6">
        <v>75383.923</v>
      </c>
      <c r="T52" s="23">
        <f t="shared" si="16"/>
        <v>34.122929636296206</v>
      </c>
    </row>
    <row r="53" spans="1:20" ht="16.5" customHeight="1">
      <c r="A53" s="22" t="s">
        <v>48</v>
      </c>
      <c r="B53" s="4" t="s">
        <v>113</v>
      </c>
      <c r="C53" s="4" t="s">
        <v>126</v>
      </c>
      <c r="D53" s="4" t="s">
        <v>107</v>
      </c>
      <c r="E53" s="5">
        <v>65</v>
      </c>
      <c r="F53" s="6">
        <v>165705.52</v>
      </c>
      <c r="G53" s="6">
        <v>135064.83</v>
      </c>
      <c r="H53" s="6">
        <f t="shared" si="12"/>
        <v>300770.35</v>
      </c>
      <c r="I53" s="8">
        <v>13.55</v>
      </c>
      <c r="J53" s="6">
        <v>0</v>
      </c>
      <c r="K53" s="6">
        <v>0</v>
      </c>
      <c r="L53" s="6">
        <f t="shared" si="13"/>
        <v>0</v>
      </c>
      <c r="M53" s="6">
        <v>24899.82</v>
      </c>
      <c r="N53" s="6">
        <v>26798</v>
      </c>
      <c r="O53" s="6">
        <f t="shared" si="2"/>
        <v>275796.2</v>
      </c>
      <c r="P53" s="6">
        <v>92008.7</v>
      </c>
      <c r="Q53" s="6">
        <f t="shared" si="14"/>
        <v>367804.9</v>
      </c>
      <c r="R53" s="23">
        <f t="shared" si="15"/>
        <v>122.28761910873197</v>
      </c>
      <c r="S53" s="6">
        <v>11484.89</v>
      </c>
      <c r="T53" s="23">
        <f t="shared" si="16"/>
        <v>38.18491417122732</v>
      </c>
    </row>
    <row r="54" spans="1:20" ht="16.5" customHeight="1">
      <c r="A54" s="22" t="s">
        <v>49</v>
      </c>
      <c r="B54" s="4" t="s">
        <v>125</v>
      </c>
      <c r="C54" s="4" t="s">
        <v>150</v>
      </c>
      <c r="D54" s="4">
        <v>94</v>
      </c>
      <c r="E54" s="5">
        <v>94</v>
      </c>
      <c r="F54" s="6">
        <v>513926.35</v>
      </c>
      <c r="G54" s="6">
        <v>243807.54</v>
      </c>
      <c r="H54" s="6">
        <f t="shared" si="12"/>
        <v>757733.89</v>
      </c>
      <c r="I54" s="8">
        <v>13.97</v>
      </c>
      <c r="J54" s="6">
        <f>162559.5+66613.5</f>
        <v>229173</v>
      </c>
      <c r="K54" s="6">
        <f>241254.5+102959.5</f>
        <v>344214</v>
      </c>
      <c r="L54" s="6">
        <f t="shared" si="13"/>
        <v>573387</v>
      </c>
      <c r="M54" s="6">
        <f>37433.38-17089.33</f>
        <v>20344.049999999996</v>
      </c>
      <c r="N54" s="6">
        <v>51420</v>
      </c>
      <c r="O54" s="6">
        <f t="shared" si="2"/>
        <v>254860.49999999994</v>
      </c>
      <c r="P54" s="6">
        <v>40005</v>
      </c>
      <c r="Q54" s="6">
        <f t="shared" si="14"/>
        <v>868252.5</v>
      </c>
      <c r="R54" s="23">
        <f t="shared" si="15"/>
        <v>114.58541203693555</v>
      </c>
      <c r="S54" s="6">
        <f>31435.03+1383.6</f>
        <v>32818.63</v>
      </c>
      <c r="T54" s="23">
        <f t="shared" si="16"/>
        <v>43.31155097207015</v>
      </c>
    </row>
    <row r="55" spans="1:20" ht="16.5" customHeight="1">
      <c r="A55" s="22" t="s">
        <v>50</v>
      </c>
      <c r="B55" s="4" t="s">
        <v>125</v>
      </c>
      <c r="C55" s="51">
        <v>44286</v>
      </c>
      <c r="D55" s="4">
        <v>112</v>
      </c>
      <c r="E55" s="5">
        <v>112</v>
      </c>
      <c r="F55" s="6">
        <v>2717566.16</v>
      </c>
      <c r="G55" s="6">
        <v>560698.4</v>
      </c>
      <c r="H55" s="6">
        <f t="shared" si="12"/>
        <v>3278264.56</v>
      </c>
      <c r="I55" s="8">
        <v>13.53</v>
      </c>
      <c r="J55" s="6">
        <v>796183.5</v>
      </c>
      <c r="K55" s="6">
        <v>535495</v>
      </c>
      <c r="L55" s="6">
        <f t="shared" si="13"/>
        <v>1331678.5</v>
      </c>
      <c r="M55" s="6">
        <v>263276.63</v>
      </c>
      <c r="N55" s="6">
        <v>0</v>
      </c>
      <c r="O55" s="6">
        <f t="shared" si="2"/>
        <v>2632766.3</v>
      </c>
      <c r="P55" s="6">
        <v>24481.664</v>
      </c>
      <c r="Q55" s="6">
        <f t="shared" si="14"/>
        <v>3988926.4639999997</v>
      </c>
      <c r="R55" s="23">
        <f t="shared" si="15"/>
        <v>121.67799123570428</v>
      </c>
      <c r="S55" s="6">
        <f>140702.46</f>
        <v>140702.46</v>
      </c>
      <c r="T55" s="23">
        <f t="shared" si="16"/>
        <v>42.91980022503126</v>
      </c>
    </row>
    <row r="56" spans="1:20" ht="16.5" customHeight="1">
      <c r="A56" s="22" t="s">
        <v>51</v>
      </c>
      <c r="B56" s="4" t="s">
        <v>127</v>
      </c>
      <c r="C56" s="4" t="s">
        <v>137</v>
      </c>
      <c r="D56" s="4" t="s">
        <v>106</v>
      </c>
      <c r="E56" s="5">
        <v>83</v>
      </c>
      <c r="F56" s="6">
        <v>1879833.97</v>
      </c>
      <c r="G56" s="6">
        <v>255731.25</v>
      </c>
      <c r="H56" s="6">
        <f t="shared" si="12"/>
        <v>2135565.2199999997</v>
      </c>
      <c r="I56" s="8">
        <v>13.82</v>
      </c>
      <c r="J56" s="6">
        <v>142985</v>
      </c>
      <c r="K56" s="6">
        <v>655839.7</v>
      </c>
      <c r="L56" s="6">
        <f t="shared" si="13"/>
        <v>798824.7</v>
      </c>
      <c r="M56" s="6">
        <v>159359.686</v>
      </c>
      <c r="N56" s="6">
        <v>2430</v>
      </c>
      <c r="O56" s="6">
        <f t="shared" si="2"/>
        <v>1596026.8599999999</v>
      </c>
      <c r="P56" s="6">
        <v>290735.5</v>
      </c>
      <c r="Q56" s="6">
        <f t="shared" si="14"/>
        <v>2685587.0599999996</v>
      </c>
      <c r="R56" s="23">
        <f t="shared" si="15"/>
        <v>125.75532860569811</v>
      </c>
      <c r="S56" s="6">
        <v>72445.75</v>
      </c>
      <c r="T56" s="23">
        <f t="shared" si="16"/>
        <v>33.92345470020345</v>
      </c>
    </row>
    <row r="57" spans="1:20" ht="16.5" customHeight="1">
      <c r="A57" s="22" t="s">
        <v>52</v>
      </c>
      <c r="B57" s="4" t="s">
        <v>125</v>
      </c>
      <c r="C57" s="51">
        <v>44268</v>
      </c>
      <c r="D57" s="4">
        <v>94</v>
      </c>
      <c r="E57" s="5">
        <v>94</v>
      </c>
      <c r="F57" s="6">
        <v>566824.83</v>
      </c>
      <c r="G57" s="6">
        <v>415402.21</v>
      </c>
      <c r="H57" s="6">
        <f t="shared" si="12"/>
        <v>982227.04</v>
      </c>
      <c r="I57" s="8">
        <v>13.38</v>
      </c>
      <c r="J57" s="6">
        <f>86594.5+2837</f>
        <v>89431.5</v>
      </c>
      <c r="K57" s="6">
        <f>45268+77440.5</f>
        <v>122708.5</v>
      </c>
      <c r="L57" s="6">
        <f t="shared" si="13"/>
        <v>212140</v>
      </c>
      <c r="M57" s="6">
        <f>81356.65-6605.2</f>
        <v>74751.45</v>
      </c>
      <c r="N57" s="6">
        <v>39000</v>
      </c>
      <c r="O57" s="6">
        <f t="shared" si="2"/>
        <v>786514.5</v>
      </c>
      <c r="P57" s="6">
        <f>130217+1915.5</f>
        <v>132132.5</v>
      </c>
      <c r="Q57" s="6">
        <f t="shared" si="14"/>
        <v>1130787</v>
      </c>
      <c r="R57" s="23">
        <f t="shared" si="15"/>
        <v>115.12480861858577</v>
      </c>
      <c r="S57" s="6">
        <f>38723.56+1971.17</f>
        <v>40694.729999999996</v>
      </c>
      <c r="T57" s="23">
        <f t="shared" si="16"/>
        <v>41.43108298057035</v>
      </c>
    </row>
    <row r="58" spans="1:20" ht="16.5" customHeight="1">
      <c r="A58" s="22" t="s">
        <v>53</v>
      </c>
      <c r="B58" s="4" t="s">
        <v>125</v>
      </c>
      <c r="C58" s="4" t="s">
        <v>135</v>
      </c>
      <c r="D58" s="4" t="s">
        <v>94</v>
      </c>
      <c r="E58" s="5">
        <v>98</v>
      </c>
      <c r="F58" s="6">
        <v>1224309.27</v>
      </c>
      <c r="G58" s="6">
        <v>749736.27</v>
      </c>
      <c r="H58" s="6">
        <f t="shared" si="12"/>
        <v>1974045.54</v>
      </c>
      <c r="I58" s="8">
        <v>13.14</v>
      </c>
      <c r="J58" s="6">
        <v>131300.25</v>
      </c>
      <c r="K58" s="6">
        <v>415850.25</v>
      </c>
      <c r="L58" s="6">
        <f t="shared" si="13"/>
        <v>547150.5</v>
      </c>
      <c r="M58" s="6">
        <v>168924.05</v>
      </c>
      <c r="N58" s="6">
        <v>5699</v>
      </c>
      <c r="O58" s="6">
        <f t="shared" si="2"/>
        <v>1694939.5</v>
      </c>
      <c r="P58" s="6">
        <v>92754</v>
      </c>
      <c r="Q58" s="6">
        <f t="shared" si="14"/>
        <v>2334844</v>
      </c>
      <c r="R58" s="23">
        <f t="shared" si="15"/>
        <v>118.27710925047859</v>
      </c>
      <c r="S58" s="6">
        <v>81847.27</v>
      </c>
      <c r="T58" s="23">
        <f t="shared" si="16"/>
        <v>41.46169292528074</v>
      </c>
    </row>
    <row r="59" spans="1:20" ht="16.5" customHeight="1">
      <c r="A59" s="22" t="s">
        <v>54</v>
      </c>
      <c r="B59" s="4" t="s">
        <v>125</v>
      </c>
      <c r="C59" s="4" t="s">
        <v>151</v>
      </c>
      <c r="D59" s="4" t="s">
        <v>104</v>
      </c>
      <c r="E59" s="5">
        <v>81</v>
      </c>
      <c r="F59" s="6">
        <v>355337.74</v>
      </c>
      <c r="G59" s="6">
        <v>383760.265</v>
      </c>
      <c r="H59" s="6">
        <f t="shared" si="12"/>
        <v>739098.005</v>
      </c>
      <c r="I59" s="8">
        <v>13.39</v>
      </c>
      <c r="J59" s="6">
        <v>152705</v>
      </c>
      <c r="K59" s="6">
        <v>0</v>
      </c>
      <c r="L59" s="6">
        <f t="shared" si="13"/>
        <v>152705</v>
      </c>
      <c r="M59" s="6">
        <v>58978.93</v>
      </c>
      <c r="N59" s="6">
        <v>0</v>
      </c>
      <c r="O59" s="6">
        <f t="shared" si="2"/>
        <v>589789.3</v>
      </c>
      <c r="P59" s="6">
        <v>0</v>
      </c>
      <c r="Q59" s="6">
        <f t="shared" si="14"/>
        <v>742494.3</v>
      </c>
      <c r="R59" s="23">
        <f t="shared" si="15"/>
        <v>100.45951889695603</v>
      </c>
      <c r="S59" s="6">
        <v>25524.74</v>
      </c>
      <c r="T59" s="23">
        <f t="shared" si="16"/>
        <v>34.53498700757554</v>
      </c>
    </row>
    <row r="60" spans="1:20" ht="16.5" customHeight="1">
      <c r="A60" s="22" t="s">
        <v>55</v>
      </c>
      <c r="B60" s="4" t="s">
        <v>125</v>
      </c>
      <c r="C60" s="4" t="s">
        <v>150</v>
      </c>
      <c r="D60" s="4">
        <v>112</v>
      </c>
      <c r="E60" s="5">
        <v>112</v>
      </c>
      <c r="F60" s="6">
        <v>478662.4</v>
      </c>
      <c r="G60" s="6">
        <v>238200.54</v>
      </c>
      <c r="H60" s="6">
        <f t="shared" si="12"/>
        <v>716862.9400000001</v>
      </c>
      <c r="I60" s="8">
        <v>13.98</v>
      </c>
      <c r="J60" s="6">
        <f>311850.25+106901</f>
        <v>418751.25</v>
      </c>
      <c r="K60" s="6">
        <f>41309+8820</f>
        <v>50129</v>
      </c>
      <c r="L60" s="6">
        <f t="shared" si="13"/>
        <v>468880.25</v>
      </c>
      <c r="M60" s="6">
        <f>48853.81-12764.61</f>
        <v>36089.2</v>
      </c>
      <c r="N60" s="6">
        <v>0</v>
      </c>
      <c r="O60" s="6">
        <f t="shared" si="2"/>
        <v>360892</v>
      </c>
      <c r="P60" s="6">
        <v>0</v>
      </c>
      <c r="Q60" s="6">
        <f t="shared" si="14"/>
        <v>829772.25</v>
      </c>
      <c r="R60" s="23">
        <f t="shared" si="15"/>
        <v>115.75047386324643</v>
      </c>
      <c r="S60" s="6">
        <f>30608+1051+444</f>
        <v>32103</v>
      </c>
      <c r="T60" s="23">
        <f t="shared" si="16"/>
        <v>44.782619115447645</v>
      </c>
    </row>
    <row r="61" spans="1:20" ht="16.5" customHeight="1">
      <c r="A61" s="22" t="s">
        <v>56</v>
      </c>
      <c r="B61" s="4" t="s">
        <v>125</v>
      </c>
      <c r="C61" s="51">
        <v>44253</v>
      </c>
      <c r="D61" s="4">
        <v>79</v>
      </c>
      <c r="E61" s="5">
        <v>79</v>
      </c>
      <c r="F61" s="6">
        <v>689225.62</v>
      </c>
      <c r="G61" s="6">
        <v>627383.38</v>
      </c>
      <c r="H61" s="6">
        <f t="shared" si="12"/>
        <v>1316609</v>
      </c>
      <c r="I61" s="8">
        <v>13.57</v>
      </c>
      <c r="J61" s="6">
        <f>223881.5+2506.5</f>
        <v>226388</v>
      </c>
      <c r="K61" s="6">
        <f>405550+4009.5</f>
        <v>409559.5</v>
      </c>
      <c r="L61" s="6">
        <f t="shared" si="13"/>
        <v>635947.5</v>
      </c>
      <c r="M61" s="6">
        <f>85778.44</f>
        <v>85778.44</v>
      </c>
      <c r="N61" s="6">
        <v>0</v>
      </c>
      <c r="O61" s="6">
        <f t="shared" si="2"/>
        <v>857784.4</v>
      </c>
      <c r="P61" s="6">
        <f>119376.1/1.4835</f>
        <v>80469.22817660937</v>
      </c>
      <c r="Q61" s="6">
        <f t="shared" si="14"/>
        <v>1574201.1281766093</v>
      </c>
      <c r="R61" s="23">
        <f t="shared" si="15"/>
        <v>119.56481599143021</v>
      </c>
      <c r="S61" s="6">
        <f>51245.68+189.53</f>
        <v>51435.21</v>
      </c>
      <c r="T61" s="23">
        <f t="shared" si="16"/>
        <v>39.06642746631688</v>
      </c>
    </row>
    <row r="62" spans="1:20" ht="16.5" customHeight="1">
      <c r="A62" s="22" t="s">
        <v>57</v>
      </c>
      <c r="B62" s="4" t="s">
        <v>129</v>
      </c>
      <c r="C62" s="4" t="s">
        <v>151</v>
      </c>
      <c r="D62" s="4">
        <v>107</v>
      </c>
      <c r="E62" s="5">
        <v>107</v>
      </c>
      <c r="F62" s="6">
        <v>515079.27</v>
      </c>
      <c r="G62" s="6">
        <v>341323.26</v>
      </c>
      <c r="H62" s="6">
        <f t="shared" si="12"/>
        <v>856402.53</v>
      </c>
      <c r="I62" s="8">
        <v>14.35</v>
      </c>
      <c r="J62" s="6">
        <f>502540+175020</f>
        <v>677560</v>
      </c>
      <c r="K62" s="6">
        <v>0</v>
      </c>
      <c r="L62" s="6">
        <f t="shared" si="13"/>
        <v>677560</v>
      </c>
      <c r="M62" s="6">
        <f>52147.46-18028.72</f>
        <v>34118.74</v>
      </c>
      <c r="N62" s="6">
        <v>0</v>
      </c>
      <c r="O62" s="6">
        <f t="shared" si="2"/>
        <v>341187.39999999997</v>
      </c>
      <c r="P62" s="6">
        <v>0</v>
      </c>
      <c r="Q62" s="6">
        <f t="shared" si="14"/>
        <v>1018747.3999999999</v>
      </c>
      <c r="R62" s="23">
        <f t="shared" si="15"/>
        <v>118.95660793996018</v>
      </c>
      <c r="S62" s="6">
        <f>33096.11+2311.04</f>
        <v>35407.15</v>
      </c>
      <c r="T62" s="23">
        <f t="shared" si="16"/>
        <v>41.344051143800336</v>
      </c>
    </row>
    <row r="63" spans="1:20" ht="16.5" customHeight="1">
      <c r="A63" s="22" t="s">
        <v>58</v>
      </c>
      <c r="B63" s="4" t="s">
        <v>124</v>
      </c>
      <c r="C63" s="51">
        <v>44288</v>
      </c>
      <c r="D63" s="4">
        <v>108</v>
      </c>
      <c r="E63" s="5">
        <v>108</v>
      </c>
      <c r="F63" s="6">
        <v>1393353.4</v>
      </c>
      <c r="G63" s="6">
        <v>365740.94</v>
      </c>
      <c r="H63" s="6">
        <f t="shared" si="12"/>
        <v>1759094.3399999999</v>
      </c>
      <c r="I63" s="8">
        <v>13.9</v>
      </c>
      <c r="J63" s="6">
        <v>38292.5</v>
      </c>
      <c r="K63" s="6">
        <v>0</v>
      </c>
      <c r="L63" s="6">
        <f t="shared" si="13"/>
        <v>38292.5</v>
      </c>
      <c r="M63" s="6">
        <v>127399.45</v>
      </c>
      <c r="N63" s="6">
        <v>54660.5</v>
      </c>
      <c r="O63" s="6">
        <f t="shared" si="2"/>
        <v>1328655</v>
      </c>
      <c r="P63" s="6">
        <v>808729</v>
      </c>
      <c r="Q63" s="6">
        <f t="shared" si="14"/>
        <v>2175676.5</v>
      </c>
      <c r="R63" s="23">
        <f t="shared" si="15"/>
        <v>123.68162698994303</v>
      </c>
      <c r="S63" s="6">
        <v>65969.28</v>
      </c>
      <c r="T63" s="23">
        <f t="shared" si="16"/>
        <v>37.50184313594006</v>
      </c>
    </row>
    <row r="64" spans="1:20" ht="16.5" customHeight="1">
      <c r="A64" s="22" t="s">
        <v>59</v>
      </c>
      <c r="B64" s="4" t="s">
        <v>125</v>
      </c>
      <c r="C64" s="4" t="s">
        <v>147</v>
      </c>
      <c r="D64" s="4" t="s">
        <v>152</v>
      </c>
      <c r="E64" s="5">
        <v>96</v>
      </c>
      <c r="F64" s="6">
        <v>2828686.94</v>
      </c>
      <c r="G64" s="6">
        <v>213560.06</v>
      </c>
      <c r="H64" s="6">
        <f t="shared" si="12"/>
        <v>3042247</v>
      </c>
      <c r="I64" s="8">
        <v>13.67</v>
      </c>
      <c r="J64" s="6">
        <v>218381</v>
      </c>
      <c r="K64" s="6">
        <v>603506.32</v>
      </c>
      <c r="L64" s="6">
        <f t="shared" si="13"/>
        <v>821887.32</v>
      </c>
      <c r="M64" s="6">
        <v>255102.465</v>
      </c>
      <c r="N64" s="6">
        <v>416154.6</v>
      </c>
      <c r="O64" s="6">
        <f t="shared" si="2"/>
        <v>2967179.25</v>
      </c>
      <c r="P64" s="6">
        <v>108285</v>
      </c>
      <c r="Q64" s="6">
        <f t="shared" si="14"/>
        <v>3897351.57</v>
      </c>
      <c r="R64" s="23">
        <f t="shared" si="15"/>
        <v>128.10766417059494</v>
      </c>
      <c r="S64" s="6">
        <v>106833.75</v>
      </c>
      <c r="T64" s="23">
        <f t="shared" si="16"/>
        <v>35.116724578905</v>
      </c>
    </row>
    <row r="65" spans="1:20" ht="16.5" customHeight="1">
      <c r="A65" s="22" t="s">
        <v>60</v>
      </c>
      <c r="B65" s="4" t="s">
        <v>125</v>
      </c>
      <c r="C65" s="4" t="s">
        <v>135</v>
      </c>
      <c r="D65" s="4" t="s">
        <v>94</v>
      </c>
      <c r="E65" s="5">
        <v>98</v>
      </c>
      <c r="F65" s="6">
        <v>1467203.14</v>
      </c>
      <c r="G65" s="6">
        <v>742845.93</v>
      </c>
      <c r="H65" s="6">
        <f t="shared" si="12"/>
        <v>2210049.07</v>
      </c>
      <c r="I65" s="8">
        <v>13.52</v>
      </c>
      <c r="J65" s="6">
        <v>170634.5</v>
      </c>
      <c r="K65" s="6">
        <v>515016.5</v>
      </c>
      <c r="L65" s="6">
        <f t="shared" si="13"/>
        <v>685651</v>
      </c>
      <c r="M65" s="6">
        <v>187927.11</v>
      </c>
      <c r="N65" s="6">
        <v>0</v>
      </c>
      <c r="O65" s="6">
        <f t="shared" si="2"/>
        <v>1879271.0999999999</v>
      </c>
      <c r="P65" s="6">
        <v>0</v>
      </c>
      <c r="Q65" s="6">
        <f t="shared" si="14"/>
        <v>2564922.0999999996</v>
      </c>
      <c r="R65" s="23">
        <f t="shared" si="15"/>
        <v>116.05724663841966</v>
      </c>
      <c r="S65" s="6">
        <v>86100.71</v>
      </c>
      <c r="T65" s="23">
        <f t="shared" si="16"/>
        <v>38.95873226018462</v>
      </c>
    </row>
    <row r="66" spans="1:20" ht="16.5" customHeight="1">
      <c r="A66" s="22" t="s">
        <v>61</v>
      </c>
      <c r="B66" s="4" t="s">
        <v>129</v>
      </c>
      <c r="C66" s="4" t="s">
        <v>137</v>
      </c>
      <c r="D66" s="4" t="s">
        <v>133</v>
      </c>
      <c r="E66" s="5">
        <v>84</v>
      </c>
      <c r="F66" s="6">
        <v>785144.2</v>
      </c>
      <c r="G66" s="6">
        <v>679120.23</v>
      </c>
      <c r="H66" s="6">
        <f t="shared" si="12"/>
        <v>1464264.43</v>
      </c>
      <c r="I66" s="8">
        <v>13.44</v>
      </c>
      <c r="J66" s="6">
        <v>29972</v>
      </c>
      <c r="K66" s="6">
        <v>425603.5</v>
      </c>
      <c r="L66" s="6">
        <f t="shared" si="13"/>
        <v>455575.5</v>
      </c>
      <c r="M66" s="6">
        <v>125186.17300000001</v>
      </c>
      <c r="N66" s="6">
        <v>0</v>
      </c>
      <c r="O66" s="6">
        <f t="shared" si="2"/>
        <v>1251861.73</v>
      </c>
      <c r="P66" s="6">
        <v>25276.5</v>
      </c>
      <c r="Q66" s="6">
        <f t="shared" si="14"/>
        <v>1732713.73</v>
      </c>
      <c r="R66" s="23">
        <f t="shared" si="15"/>
        <v>118.3333894138233</v>
      </c>
      <c r="S66" s="6">
        <v>58277.19</v>
      </c>
      <c r="T66" s="23">
        <f t="shared" si="16"/>
        <v>39.79963509733007</v>
      </c>
    </row>
    <row r="67" spans="1:20" ht="16.5" customHeight="1">
      <c r="A67" s="22" t="s">
        <v>62</v>
      </c>
      <c r="B67" s="4" t="s">
        <v>125</v>
      </c>
      <c r="C67" s="4" t="s">
        <v>148</v>
      </c>
      <c r="D67" s="4" t="s">
        <v>96</v>
      </c>
      <c r="E67" s="5">
        <v>94</v>
      </c>
      <c r="F67" s="6">
        <v>1588553.36</v>
      </c>
      <c r="G67" s="6">
        <v>562655.38</v>
      </c>
      <c r="H67" s="6">
        <f t="shared" si="12"/>
        <v>2151208.74</v>
      </c>
      <c r="I67" s="8">
        <v>13.52</v>
      </c>
      <c r="J67" s="6">
        <v>0</v>
      </c>
      <c r="K67" s="6">
        <v>0</v>
      </c>
      <c r="L67" s="6">
        <f t="shared" si="13"/>
        <v>0</v>
      </c>
      <c r="M67" s="6">
        <v>274646.14</v>
      </c>
      <c r="N67" s="6">
        <v>0</v>
      </c>
      <c r="O67" s="6">
        <f t="shared" si="2"/>
        <v>2746461.4000000004</v>
      </c>
      <c r="P67" s="6">
        <v>0</v>
      </c>
      <c r="Q67" s="6">
        <f t="shared" si="14"/>
        <v>2746461.4000000004</v>
      </c>
      <c r="R67" s="23">
        <f t="shared" si="15"/>
        <v>127.670613684844</v>
      </c>
      <c r="S67" s="6">
        <v>79074.04</v>
      </c>
      <c r="T67" s="23">
        <f t="shared" si="16"/>
        <v>36.75795776099347</v>
      </c>
    </row>
    <row r="68" spans="1:20" ht="16.5" customHeight="1">
      <c r="A68" s="22" t="s">
        <v>63</v>
      </c>
      <c r="B68" s="4" t="s">
        <v>127</v>
      </c>
      <c r="C68" s="4" t="s">
        <v>148</v>
      </c>
      <c r="D68" s="4" t="s">
        <v>98</v>
      </c>
      <c r="E68" s="5">
        <v>92</v>
      </c>
      <c r="F68" s="6">
        <v>670330.98</v>
      </c>
      <c r="G68" s="6">
        <v>423919.46</v>
      </c>
      <c r="H68" s="6">
        <f t="shared" si="12"/>
        <v>1094250.44</v>
      </c>
      <c r="I68" s="8">
        <v>13.54</v>
      </c>
      <c r="J68" s="6">
        <v>0</v>
      </c>
      <c r="K68" s="6">
        <v>0</v>
      </c>
      <c r="L68" s="6">
        <f t="shared" si="13"/>
        <v>0</v>
      </c>
      <c r="M68" s="6">
        <v>123032.53</v>
      </c>
      <c r="N68" s="6">
        <v>9670</v>
      </c>
      <c r="O68" s="6">
        <f t="shared" si="2"/>
        <v>1239995.3</v>
      </c>
      <c r="P68" s="6">
        <v>102329</v>
      </c>
      <c r="Q68" s="6">
        <f t="shared" si="14"/>
        <v>1342324.3</v>
      </c>
      <c r="R68" s="23">
        <f t="shared" si="15"/>
        <v>122.6706657755605</v>
      </c>
      <c r="S68" s="6">
        <v>42792.98</v>
      </c>
      <c r="T68" s="23">
        <f t="shared" si="16"/>
        <v>39.107117014273264</v>
      </c>
    </row>
    <row r="69" spans="1:20" ht="16.5" customHeight="1">
      <c r="A69" s="22" t="s">
        <v>64</v>
      </c>
      <c r="B69" s="4" t="s">
        <v>125</v>
      </c>
      <c r="C69" s="4" t="s">
        <v>138</v>
      </c>
      <c r="D69" s="4" t="s">
        <v>99</v>
      </c>
      <c r="E69" s="5">
        <v>90</v>
      </c>
      <c r="F69" s="6">
        <v>414585.2</v>
      </c>
      <c r="G69" s="6">
        <v>375305.03</v>
      </c>
      <c r="H69" s="6">
        <f t="shared" si="12"/>
        <v>789890.23</v>
      </c>
      <c r="I69" s="8">
        <v>13.35</v>
      </c>
      <c r="J69" s="6">
        <v>48182</v>
      </c>
      <c r="K69" s="6">
        <v>0</v>
      </c>
      <c r="L69" s="6">
        <f t="shared" si="13"/>
        <v>48182</v>
      </c>
      <c r="M69" s="6">
        <v>71765.97</v>
      </c>
      <c r="N69" s="6">
        <v>0</v>
      </c>
      <c r="O69" s="6">
        <f t="shared" si="2"/>
        <v>717659.7</v>
      </c>
      <c r="P69" s="6">
        <v>58282.1</v>
      </c>
      <c r="Q69" s="6">
        <f t="shared" si="14"/>
        <v>824123.7999999999</v>
      </c>
      <c r="R69" s="23">
        <f t="shared" si="15"/>
        <v>104.33396549290147</v>
      </c>
      <c r="S69" s="6">
        <v>34329.79</v>
      </c>
      <c r="T69" s="23">
        <f t="shared" si="16"/>
        <v>43.46146932340206</v>
      </c>
    </row>
    <row r="70" spans="1:20" ht="16.5" customHeight="1">
      <c r="A70" s="22" t="s">
        <v>97</v>
      </c>
      <c r="B70" s="4" t="s">
        <v>125</v>
      </c>
      <c r="C70" s="4" t="s">
        <v>136</v>
      </c>
      <c r="D70" s="4" t="s">
        <v>101</v>
      </c>
      <c r="E70" s="5">
        <v>87</v>
      </c>
      <c r="F70" s="6">
        <v>264004.6</v>
      </c>
      <c r="G70" s="6">
        <v>110851.52</v>
      </c>
      <c r="H70" s="6">
        <f t="shared" si="12"/>
        <v>374856.12</v>
      </c>
      <c r="I70" s="8">
        <v>13.53</v>
      </c>
      <c r="J70" s="6">
        <v>0</v>
      </c>
      <c r="K70" s="6">
        <v>0</v>
      </c>
      <c r="L70" s="6">
        <f t="shared" si="13"/>
        <v>0</v>
      </c>
      <c r="M70" s="6">
        <v>41584.05</v>
      </c>
      <c r="N70" s="6">
        <v>0</v>
      </c>
      <c r="O70" s="6">
        <f t="shared" si="2"/>
        <v>415840.5</v>
      </c>
      <c r="P70" s="6">
        <v>0</v>
      </c>
      <c r="Q70" s="6">
        <f t="shared" si="14"/>
        <v>415840.5</v>
      </c>
      <c r="R70" s="23">
        <f t="shared" si="15"/>
        <v>110.93336291268234</v>
      </c>
      <c r="S70" s="6">
        <v>14627.55</v>
      </c>
      <c r="T70" s="23">
        <f t="shared" si="16"/>
        <v>39.0217718734324</v>
      </c>
    </row>
    <row r="71" spans="1:20" ht="16.5" customHeight="1">
      <c r="A71" s="22" t="s">
        <v>130</v>
      </c>
      <c r="B71" s="4" t="s">
        <v>125</v>
      </c>
      <c r="C71" s="4" t="s">
        <v>137</v>
      </c>
      <c r="D71" s="4" t="s">
        <v>139</v>
      </c>
      <c r="E71" s="5">
        <v>85</v>
      </c>
      <c r="F71" s="6">
        <v>478353.36</v>
      </c>
      <c r="G71" s="6">
        <v>227985.48</v>
      </c>
      <c r="H71" s="6">
        <f t="shared" si="12"/>
        <v>706338.84</v>
      </c>
      <c r="I71" s="8">
        <v>14.08</v>
      </c>
      <c r="J71" s="6">
        <v>0</v>
      </c>
      <c r="K71" s="6">
        <v>0</v>
      </c>
      <c r="L71" s="6">
        <f t="shared" si="13"/>
        <v>0</v>
      </c>
      <c r="M71" s="6">
        <v>90144.82</v>
      </c>
      <c r="N71" s="6">
        <v>0</v>
      </c>
      <c r="O71" s="6">
        <f t="shared" si="2"/>
        <v>901448.2000000001</v>
      </c>
      <c r="P71" s="6">
        <v>0</v>
      </c>
      <c r="Q71" s="6">
        <f t="shared" si="14"/>
        <v>901448.2000000001</v>
      </c>
      <c r="R71" s="23">
        <f t="shared" si="15"/>
        <v>127.62262938846744</v>
      </c>
      <c r="S71" s="6">
        <v>25375.12</v>
      </c>
      <c r="T71" s="23">
        <f t="shared" si="16"/>
        <v>35.924854422560145</v>
      </c>
    </row>
    <row r="72" spans="1:20" ht="16.5" customHeight="1">
      <c r="A72" s="24" t="s">
        <v>17</v>
      </c>
      <c r="B72" s="24"/>
      <c r="C72" s="24"/>
      <c r="D72" s="25"/>
      <c r="E72" s="25"/>
      <c r="F72" s="26">
        <f>SUM(F50:F71)</f>
        <v>21263331.169999998</v>
      </c>
      <c r="G72" s="26">
        <f>SUM(G50:G71)</f>
        <v>9266356.644999998</v>
      </c>
      <c r="H72" s="26">
        <f>SUM(H50:H71)</f>
        <v>30529687.815000005</v>
      </c>
      <c r="I72" s="27">
        <f>((H50*I50)+(H51*I51)+(H52*I52)+(H53*I53)+(H54*I54)+(H55*I55)+(H56*I56)+(H57*I57)+(H58*I58)+(H59*I59)+(H60*I60)+(H61*I61)+(H62*I62)+(H63*I63)+(H64*I64)+(H65*I65)+(H66*I66)+(H67*I67)+(H68*I68)+(H69*I69)+(H70*I70)+(H71*I71))/H72</f>
        <v>13.660582187359976</v>
      </c>
      <c r="J72" s="26">
        <f>SUM(J50:J71)</f>
        <v>3642773.5</v>
      </c>
      <c r="K72" s="26">
        <f>SUM(K50:K71)</f>
        <v>5103268.711999999</v>
      </c>
      <c r="L72" s="26">
        <f>SUM(L50:L71)</f>
        <v>8746042.212000001</v>
      </c>
      <c r="M72" s="26">
        <f>SUM(M50:M71)</f>
        <v>2463789.2939999998</v>
      </c>
      <c r="N72" s="26">
        <f>SUM(N50:N71)</f>
        <v>1319143.7999999998</v>
      </c>
      <c r="O72" s="26">
        <f t="shared" si="2"/>
        <v>25957036.74</v>
      </c>
      <c r="P72" s="26">
        <f>SUM(P50:P71)</f>
        <v>2232491.4421766098</v>
      </c>
      <c r="Q72" s="26">
        <f>SUM(Q50:Q71)</f>
        <v>36935570.39417661</v>
      </c>
      <c r="R72" s="28">
        <f t="shared" si="15"/>
        <v>120.98246997478053</v>
      </c>
      <c r="S72" s="26">
        <f>SUM(S50:S71)</f>
        <v>1182729.4630000002</v>
      </c>
      <c r="T72" s="28">
        <f t="shared" si="16"/>
        <v>38.74030649009439</v>
      </c>
    </row>
    <row r="73" spans="1:20" ht="16.5" customHeight="1">
      <c r="A73" s="30" t="s">
        <v>65</v>
      </c>
      <c r="B73" s="30"/>
      <c r="C73" s="30"/>
      <c r="D73" s="31"/>
      <c r="E73" s="31"/>
      <c r="F73" s="32">
        <f>SUM(F19+F41+F48+F72)</f>
        <v>49048591.84</v>
      </c>
      <c r="G73" s="32">
        <f>SUM(G19+G41+G48+G72)</f>
        <v>17610220.415</v>
      </c>
      <c r="H73" s="32">
        <f>SUM(H19+H41+H48+H72)</f>
        <v>66658812.255</v>
      </c>
      <c r="I73" s="33">
        <f>((H19*I19)+(H41*I41)+(H48*I48)+(H72*I72))/H73</f>
        <v>12.912705359131065</v>
      </c>
      <c r="J73" s="32">
        <f>SUM(J19+J41+J48+J72)</f>
        <v>8973855.0972</v>
      </c>
      <c r="K73" s="32">
        <f>SUM(K19+K41+K48+K72)</f>
        <v>10711926.162</v>
      </c>
      <c r="L73" s="32">
        <f>SUM(L19+L41+L48+L72)</f>
        <v>19685781.2592</v>
      </c>
      <c r="M73" s="32">
        <f>SUM(M19+M41+M48+M72)</f>
        <v>5024889.887999999</v>
      </c>
      <c r="N73" s="32">
        <f>SUM(N19+N41+N48+N72)</f>
        <v>1819323.1999999997</v>
      </c>
      <c r="O73" s="26">
        <f t="shared" si="2"/>
        <v>52068222.08</v>
      </c>
      <c r="P73" s="32">
        <f>SUM(P19+P41+P48+P72)</f>
        <v>4112040.74917661</v>
      </c>
      <c r="Q73" s="32">
        <f>SUM(Q19+Q41+Q48+Q72)</f>
        <v>75866044.08837661</v>
      </c>
      <c r="R73" s="28">
        <f t="shared" si="15"/>
        <v>113.81247508304648</v>
      </c>
      <c r="S73" s="32">
        <f>SUM(S19+S41+S48+S72)</f>
        <v>2766288.8670000006</v>
      </c>
      <c r="T73" s="28">
        <f t="shared" si="16"/>
        <v>41.49922228463505</v>
      </c>
    </row>
    <row r="74" spans="1:20" ht="16.5" customHeight="1">
      <c r="A74" s="9" t="s">
        <v>66</v>
      </c>
      <c r="B74" s="7" t="s">
        <v>92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2:20" ht="16.5" customHeight="1">
      <c r="B75" s="9" t="s">
        <v>169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2:20" ht="16.5" customHeight="1">
      <c r="B76" s="9" t="s">
        <v>170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2:20" ht="16.5" customHeight="1">
      <c r="B77" s="9" t="s">
        <v>176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6.5" customHeight="1">
      <c r="A78" s="34"/>
      <c r="B78" s="9" t="s">
        <v>177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2:20" ht="16.5" customHeight="1">
      <c r="B79" s="9" t="s">
        <v>131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2:20" ht="16.5" customHeight="1">
      <c r="B80" s="9" t="s">
        <v>178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6.5" customHeight="1">
      <c r="A81" s="35"/>
      <c r="B81" s="9" t="s">
        <v>159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6.5" customHeight="1">
      <c r="A82" s="35"/>
      <c r="B82" s="9" t="s">
        <v>179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6.5" customHeight="1">
      <c r="A83" s="34"/>
      <c r="B83" s="9" t="s">
        <v>180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6.5" customHeight="1">
      <c r="A84" s="34"/>
      <c r="B84" s="9" t="s">
        <v>160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6.5" customHeight="1">
      <c r="A85" s="34"/>
      <c r="B85" s="9" t="s">
        <v>161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6.5" customHeight="1">
      <c r="A86" s="34"/>
      <c r="B86" s="9" t="s">
        <v>162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2:20" ht="16.5" customHeight="1">
      <c r="B87" s="9" t="s">
        <v>171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6.5" customHeight="1">
      <c r="A88" s="34"/>
      <c r="B88" s="9" t="s">
        <v>172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2:20" ht="16.5" customHeight="1">
      <c r="B89" s="9" t="s">
        <v>175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6.5" customHeight="1">
      <c r="A90" s="35"/>
      <c r="B90" s="9" t="s">
        <v>163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2:20" ht="16.5" customHeight="1">
      <c r="B91" s="9" t="s">
        <v>164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2:20" ht="16.5" customHeight="1">
      <c r="B92" s="9" t="s">
        <v>181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2:20" ht="16.5" customHeight="1">
      <c r="B93" s="9" t="s">
        <v>165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2:20" ht="16.5" customHeight="1">
      <c r="B94" s="9" t="s">
        <v>166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2:20" ht="16.5" customHeight="1">
      <c r="B95" s="9" t="s">
        <v>174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2:20" ht="16.5" customHeight="1">
      <c r="B96" s="9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ht="16.5" customHeight="1">
      <c r="B97" s="9" t="s">
        <v>173</v>
      </c>
    </row>
    <row r="98" spans="2:15" ht="16.5" customHeight="1">
      <c r="B98" s="10" t="s">
        <v>168</v>
      </c>
      <c r="O98" s="36">
        <v>242636</v>
      </c>
    </row>
    <row r="99" ht="16.5" customHeight="1">
      <c r="B99" s="9"/>
    </row>
    <row r="100" ht="16.5" customHeight="1">
      <c r="B100" s="10"/>
    </row>
  </sheetData>
  <sheetProtection/>
  <printOptions/>
  <pageMargins left="0.15748031496062992" right="0.15748031496062992" top="0.24" bottom="0.21" header="0.15748031496062992" footer="0.15748031496062992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data</cp:lastModifiedBy>
  <cp:lastPrinted>2021-04-22T02:31:00Z</cp:lastPrinted>
  <dcterms:created xsi:type="dcterms:W3CDTF">2017-05-05T03:19:15Z</dcterms:created>
  <dcterms:modified xsi:type="dcterms:W3CDTF">2021-05-05T08:47:09Z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01734361CD07C3C85B968AA4B2781C480C131A4BF1DCCE0484255B1E26629C81B57DF7C6AC3CE480EA67B76B1AEFE2BF66B04F08C88E9995EE9BF8BD2EE0745BDE8E0D99BDDB2C4B54D43B67C682AABECA1F2DF4CE039F183098397579CE4FBA3FC917D171E53419FF4CC71AFA652AD83B1065BA663E1A2BF1A94DCA2B48368</vt:lpwstr>
  </property>
  <property fmtid="{D5CDD505-2E9C-101B-9397-08002B2CF9AE}" pid="3" name="Business Objects Context Information1">
    <vt:lpwstr>B00AB90EDCC8F1A758DA9F70480DD9E96B93841941A6B75384BFA58E5E4CCBE92D55D1136D7FC3CE78E9BDD79C3AA494A820142E0F6A757B0B492E7C2B2A4511ED176F07457ED6E29EBDE2DE45D187C6CF480BFDD24F01A7FBBFC6C01E22502B85AE6B8DB8DED63750B153FB35BFCAFC4BA75D97BF8564BDBE92302AC975717</vt:lpwstr>
  </property>
  <property fmtid="{D5CDD505-2E9C-101B-9397-08002B2CF9AE}" pid="4" name="Business Objects Context Information2">
    <vt:lpwstr>3C508DA50B7DA4F6D18AC6D53BEB2A04AFAA46E55C399A1C93E58F62AC03FB4714A82C86D406F861ACE73BEB8F783ACA4224C3B1FEBD1FFFFF573C390765D7AAEFE05A50BDAF52B4592F5569418F710B8AD6BA9B5CB7E252B08D16DC25F304D6A564CF8255449542EF8902D307952A4C81452130E4D7810B7FBB80BA30BBFDE</vt:lpwstr>
  </property>
  <property fmtid="{D5CDD505-2E9C-101B-9397-08002B2CF9AE}" pid="5" name="Business Objects Context Information3">
    <vt:lpwstr>53A9654E02C207A3EABA2CFD5AC4E2698F1A865ED9DF950634FAA2C8DF5A785EE8F3765128DBC952115F0F10D83E06377F5DCF4643DBAF6396B8BD4FBBB246EF18ED655E40588071E8F3B75A5FD1E9FBE3E559D901CBBE05E650CC774BE35B0CD5D71768E776BB9465786D5FBE9431292705B4597F2140FC59276F5434F6539</vt:lpwstr>
  </property>
  <property fmtid="{D5CDD505-2E9C-101B-9397-08002B2CF9AE}" pid="6" name="Business Objects Context Information4">
    <vt:lpwstr>A6C53B4485000554FA2A92B4939C9D5D6B37AD9896E23FC7C7A9E30E7282AEB76F880288D08FD92B87696A161D75B32613F7643A98AA12D8C9810DD3B78F6E75326BD0FCBCD66766EC291D296AD2B133198733C6164CB9E44C52EEA1A737B414630CFA1F142EDF26B9FBB1C713AA56D8FB445A4433AB4CEB7831AFF5E64CD10</vt:lpwstr>
  </property>
  <property fmtid="{D5CDD505-2E9C-101B-9397-08002B2CF9AE}" pid="7" name="Business Objects Context Information5">
    <vt:lpwstr>5198C272C25570B33ADF9E5D7940B4BE04607DC087CDB9A5F902D6BC454CC0A846F4B2F85BD0E304EFB7A2BCFCD5C214385BC0BCD805811F7EE1CDFCE9C3F429D709931577284DCBAC6729103794A932EB6BD0B1CB2CFA6717DDD14A5FBB996C027AD7BD2E1B0457341DF4491F891A681E9443A35DC052A2A5D5515902E72AF</vt:lpwstr>
  </property>
  <property fmtid="{D5CDD505-2E9C-101B-9397-08002B2CF9AE}" pid="8" name="Business Objects Context Information6">
    <vt:lpwstr>067FCE7EE50D1F6E1044DEB6C55822FA7308BD1A</vt:lpwstr>
  </property>
</Properties>
</file>